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fileSharing readOnlyRecommended="1"/>
  <workbookPr date1904="1"/>
  <bookViews>
    <workbookView xWindow="4095" yWindow="-90" windowWidth="10275" windowHeight="5580"/>
  </bookViews>
  <sheets>
    <sheet name="testxls1" sheetId="1" r:id="rId1"/>
  </sheets>
  <definedNames>
    <definedName name="_xlnm._FilterDatabase" localSheetId="0" hidden="1">testxls1!$A$4:$D$6</definedName>
    <definedName name="bekomenliters">testxls1!$H$22</definedName>
    <definedName name="bekomenplato">testxls1!$I$16</definedName>
    <definedName name="bekomenSG">testxls1!$H$16</definedName>
    <definedName name="beslag">testxls1!$F$8</definedName>
    <definedName name="botalco">testxls1!$H$26</definedName>
    <definedName name="concentratie">testxls1!$I$6</definedName>
    <definedName name="dikte">testxls1!$D$8</definedName>
    <definedName name="effic">testxls1!$G$8</definedName>
    <definedName name="eindplato">testxls1!$I$18</definedName>
    <definedName name="eindSG">testxls1!$H$18</definedName>
    <definedName name="energie">testxls1!$H$32</definedName>
    <definedName name="hardheid">testxls1!$B$6</definedName>
    <definedName name="infuus">testxls1!$G$4</definedName>
    <definedName name="instal">testxls1!$G$4</definedName>
    <definedName name="kilos">testxls1!$D$25</definedName>
    <definedName name="kooktyd">testxls1!$D$4</definedName>
    <definedName name="lageralco">testxls1!$H$24</definedName>
    <definedName name="land">testxls1!$D$6</definedName>
    <definedName name="landfactor">testxls1!$G$9</definedName>
    <definedName name="liters">testxls1!$B$4</definedName>
    <definedName name="maisch">testxls1!$I$10</definedName>
    <definedName name="moutkilos">testxls1!$E$8</definedName>
    <definedName name="mtkleursom">testxls1!$H$8</definedName>
    <definedName name="ph">testxls1!$I$4</definedName>
    <definedName name="spoel">testxls1!$I$13</definedName>
    <definedName name="suiker">testxls1!$H$20</definedName>
    <definedName name="totaalgewicht">testxls1!$D$25</definedName>
    <definedName name="totaalSG">testxls1!$E$25</definedName>
    <definedName name="zuur">testxls1!$G$6</definedName>
    <definedName name="zuurfactor">testxls1!$H$9</definedName>
  </definedNames>
  <calcPr calcId="145621"/>
</workbook>
</file>

<file path=xl/calcChain.xml><?xml version="1.0" encoding="utf-8"?>
<calcChain xmlns="http://schemas.openxmlformats.org/spreadsheetml/2006/main">
  <c r="H22" i="1" l="1"/>
  <c r="E38" i="1"/>
  <c r="D38" i="1"/>
  <c r="C38" i="1"/>
  <c r="F21" i="1" l="1"/>
  <c r="E8" i="1"/>
  <c r="F8" i="1"/>
  <c r="G8" i="1" s="1"/>
  <c r="G9" i="1"/>
  <c r="H9" i="1"/>
  <c r="E11" i="1"/>
  <c r="F11" i="1"/>
  <c r="E12" i="1"/>
  <c r="F12" i="1"/>
  <c r="E13" i="1"/>
  <c r="F13" i="1"/>
  <c r="E14" i="1"/>
  <c r="F14" i="1"/>
  <c r="E17" i="1"/>
  <c r="F17" i="1"/>
  <c r="E18" i="1"/>
  <c r="F18" i="1"/>
  <c r="I18" i="1"/>
  <c r="E19" i="1"/>
  <c r="F19" i="1"/>
  <c r="E20" i="1"/>
  <c r="F20" i="1"/>
  <c r="E22" i="1"/>
  <c r="F22" i="1"/>
  <c r="E23" i="1"/>
  <c r="F23" i="1"/>
  <c r="I32" i="1"/>
  <c r="D33" i="1"/>
  <c r="E33" i="1"/>
  <c r="F33" i="1"/>
  <c r="I37" i="1"/>
  <c r="D25" i="1" l="1"/>
  <c r="E21" i="1"/>
  <c r="E10" i="1"/>
  <c r="E15" i="1"/>
  <c r="E16" i="1"/>
  <c r="F10" i="1"/>
  <c r="F15" i="1"/>
  <c r="F16" i="1"/>
  <c r="I10" i="1"/>
  <c r="I13" i="1" s="1"/>
  <c r="I14" i="1" s="1"/>
  <c r="I38" i="1"/>
  <c r="I36" i="1"/>
  <c r="E25" i="1" l="1"/>
  <c r="H8" i="1"/>
  <c r="I12" i="1" s="1"/>
  <c r="C33" i="1"/>
  <c r="B33" i="1"/>
  <c r="I11" i="1"/>
  <c r="H24" i="1" l="1"/>
  <c r="H26" i="1" s="1"/>
  <c r="H32" i="1" s="1"/>
  <c r="G34" i="1" s="1"/>
  <c r="H16" i="1"/>
  <c r="F25" i="1"/>
  <c r="E26" i="1"/>
  <c r="B34" i="1"/>
  <c r="I16" i="1" l="1"/>
  <c r="H28" i="1" s="1"/>
  <c r="H30" i="1"/>
</calcChain>
</file>

<file path=xl/comments1.xml><?xml version="1.0" encoding="utf-8"?>
<comments xmlns="http://schemas.openxmlformats.org/spreadsheetml/2006/main">
  <authors>
    <author>Een tevreden gebruiker van Microsoft Office</author>
    <author>R Baert</author>
  </authors>
  <commentList>
    <comment ref="B4" authorId="0">
      <text>
        <r>
          <rPr>
            <sz val="8"/>
            <color indexed="81"/>
            <rFont val="Tahoma"/>
          </rPr>
          <t>Het volume wort na koken dat in gistvat gaat</t>
        </r>
      </text>
    </comment>
    <comment ref="D4" authorId="0">
      <text>
        <r>
          <rPr>
            <sz val="8"/>
            <color indexed="81"/>
            <rFont val="Tahoma"/>
          </rPr>
          <t>is de totale kooktijd</t>
        </r>
      </text>
    </comment>
    <comment ref="I4" authorId="0">
      <text>
        <r>
          <rPr>
            <sz val="8"/>
            <color indexed="81"/>
            <rFont val="Tahoma"/>
          </rPr>
          <t>is de pH vóór enige aanpassing, indien onbekend, 7 invullen.</t>
        </r>
      </text>
    </comment>
    <comment ref="B6" authorId="0">
      <text>
        <r>
          <rPr>
            <sz val="8"/>
            <color indexed="81"/>
            <rFont val="Tahoma"/>
          </rPr>
          <t>ook nog carbonhardheid genoemd, indien on-bekend: voor Vlaanderen 15 invullen, elders 8.</t>
        </r>
      </text>
    </comment>
    <comment ref="G6" authorId="1">
      <text>
        <r>
          <rPr>
            <sz val="8"/>
            <color indexed="81"/>
            <rFont val="Tahoma"/>
          </rPr>
          <t>Welk soort zuur wens je toe te voegen indien nodig?</t>
        </r>
      </text>
    </comment>
    <comment ref="I6" authorId="0">
      <text>
        <r>
          <rPr>
            <sz val="8"/>
            <color indexed="81"/>
            <rFont val="Tahoma"/>
          </rPr>
          <t>Is de concen-tratie van het zuur</t>
        </r>
      </text>
    </comment>
    <comment ref="A21" authorId="1">
      <text>
        <r>
          <rPr>
            <sz val="8"/>
            <color indexed="81"/>
            <rFont val="Tahoma"/>
          </rPr>
          <t>Dit ingrediënt gaat niet in het beslag, wel in de kook-ketel, zuiver suiker heeft dus 100% extractie factor</t>
        </r>
      </text>
    </comment>
    <comment ref="A22" authorId="1">
      <text>
        <r>
          <rPr>
            <sz val="8"/>
            <color indexed="81"/>
            <rFont val="Tahoma"/>
          </rPr>
          <t>Dit ingrediënt gaat niet in het beslag, wel in de kook-ketel, zuiver suiker heeft dus 100% extractie factor</t>
        </r>
      </text>
    </comment>
    <comment ref="A23" authorId="1">
      <text>
        <r>
          <rPr>
            <sz val="8"/>
            <color indexed="81"/>
            <rFont val="Tahoma"/>
          </rPr>
          <t>Dit ingrediënt gaat niet in het beslag, wel in de kook-ketel, zuiver suiker heeft dus 100% extractie factor</t>
        </r>
      </text>
    </comment>
  </commentList>
</comments>
</file>

<file path=xl/sharedStrings.xml><?xml version="1.0" encoding="utf-8"?>
<sst xmlns="http://schemas.openxmlformats.org/spreadsheetml/2006/main" count="103" uniqueCount="102">
  <si>
    <t>Brouwdatum:</t>
  </si>
  <si>
    <t>Recept Nr</t>
  </si>
  <si>
    <t>ronbaert@vt4.net</t>
  </si>
  <si>
    <t>Gewenste liters &gt;&gt;</t>
  </si>
  <si>
    <t>kooktijd &gt;&gt;</t>
  </si>
  <si>
    <t>pH water&gt;</t>
  </si>
  <si>
    <r>
      <t>Tijdelijke</t>
    </r>
    <r>
      <rPr>
        <sz val="9"/>
        <rFont val="Arial"/>
        <family val="2"/>
      </rPr>
      <t xml:space="preserve"> Hardheid&gt;</t>
    </r>
  </si>
  <si>
    <t>°d of °f &gt;&gt;</t>
  </si>
  <si>
    <t>f</t>
  </si>
  <si>
    <t>m</t>
  </si>
  <si>
    <t>concentratie:</t>
  </si>
  <si>
    <t>Vergistbare grondst.</t>
  </si>
  <si>
    <t>Extrakt Fact.</t>
  </si>
  <si>
    <t>Mout-EBC's</t>
  </si>
  <si>
    <t>kg</t>
  </si>
  <si>
    <t>Deel -S.G.</t>
  </si>
  <si>
    <t>Deel-EBC</t>
  </si>
  <si>
    <t>Belgische Pils mout</t>
  </si>
  <si>
    <t>Belgische Pale mout</t>
  </si>
  <si>
    <t>Munchen</t>
  </si>
  <si>
    <t>Crystal 120...150</t>
  </si>
  <si>
    <t>Hoev. spoelwater:</t>
  </si>
  <si>
    <t>Chocolade Mout</t>
  </si>
  <si>
    <t>Tarwe Mout</t>
  </si>
  <si>
    <r>
      <t>°Plato</t>
    </r>
    <r>
      <rPr>
        <sz val="9"/>
        <color indexed="8"/>
        <rFont val="Wingdings"/>
        <charset val="2"/>
      </rPr>
      <t>â</t>
    </r>
  </si>
  <si>
    <t>Tarwe Vlokken</t>
  </si>
  <si>
    <r>
      <t>Eind SG</t>
    </r>
    <r>
      <rPr>
        <sz val="8"/>
        <color indexed="8"/>
        <rFont val="Arial"/>
        <family val="2"/>
      </rPr>
      <t xml:space="preserve"> (bij bottelen)</t>
    </r>
  </si>
  <si>
    <t>Rijstvlokken</t>
  </si>
  <si>
    <t>Aantal g/l bottelsuiker:</t>
  </si>
  <si>
    <r>
      <t xml:space="preserve">Ander </t>
    </r>
    <r>
      <rPr>
        <sz val="8"/>
        <color indexed="8"/>
        <rFont val="Arial"/>
        <family val="2"/>
      </rPr>
      <t>niet-suiker grondst.</t>
    </r>
  </si>
  <si>
    <t>Kristalsuiker</t>
  </si>
  <si>
    <t>Aantal liters bekomen wort:</t>
  </si>
  <si>
    <t>Bruine suiker Candido</t>
  </si>
  <si>
    <r>
      <t>Ander</t>
    </r>
    <r>
      <rPr>
        <sz val="8"/>
        <color indexed="8"/>
        <rFont val="Arial"/>
        <family val="2"/>
      </rPr>
      <t xml:space="preserve"> suiker grondstof</t>
    </r>
  </si>
  <si>
    <t>Alcohol vol% na Lagering:</t>
  </si>
  <si>
    <t>TOTAAL=&gt;</t>
  </si>
  <si>
    <t>KG</t>
  </si>
  <si>
    <r>
      <t>S.G.</t>
    </r>
    <r>
      <rPr>
        <sz val="8"/>
        <color indexed="8"/>
        <rFont val="Arial"/>
        <family val="2"/>
      </rPr>
      <t>(20/20)</t>
    </r>
  </si>
  <si>
    <t>Gebotteld vol% :</t>
  </si>
  <si>
    <t>Te verwachten °Plato=&gt;</t>
  </si>
  <si>
    <t>Hopgift:  Indien Pellets : iets invullen onder veld van de hopsoort</t>
  </si>
  <si>
    <t>Schijnbare Vergisting:</t>
  </si>
  <si>
    <t>Hop Soort:</t>
  </si>
  <si>
    <t>Niets of x invullen&gt;&gt;</t>
  </si>
  <si>
    <t>Brouwzaalrendement:</t>
  </si>
  <si>
    <t>aantal gram:</t>
  </si>
  <si>
    <t>% AlphaZuur:</t>
  </si>
  <si>
    <t>Energetische waarde:</t>
  </si>
  <si>
    <r>
      <t>Na..start koken</t>
    </r>
    <r>
      <rPr>
        <sz val="8"/>
        <color indexed="8"/>
        <rFont val="Arial"/>
        <family val="2"/>
      </rPr>
      <t>(min.) :</t>
    </r>
  </si>
  <si>
    <t>EBU aandeel:</t>
  </si>
  <si>
    <t>of per gedronken glas</t>
  </si>
  <si>
    <t>Totale Bitterheid:</t>
  </si>
  <si>
    <t>EBU</t>
  </si>
  <si>
    <t>van 33 cl is dit zoveel als</t>
  </si>
  <si>
    <t>klontjes suiker.</t>
  </si>
  <si>
    <t>Kruiden / additieven</t>
  </si>
  <si>
    <t>Iers mos</t>
  </si>
  <si>
    <t>Koriander</t>
  </si>
  <si>
    <t>hoeveelheid (gram):</t>
  </si>
  <si>
    <t>min. na start koken:</t>
  </si>
  <si>
    <t>Notities  /  Maisschema</t>
  </si>
  <si>
    <t>temp.</t>
  </si>
  <si>
    <t>rusttijd</t>
  </si>
  <si>
    <t>bekomen</t>
  </si>
  <si>
    <t>opmerkingen</t>
  </si>
  <si>
    <t>pH na koken (best 5,1) :</t>
  </si>
  <si>
    <t>(Inmaischen)</t>
  </si>
  <si>
    <t>Hoofdgisting gestart op:</t>
  </si>
  <si>
    <t>Dat.hevel na hoofdgist:</t>
  </si>
  <si>
    <t>Datum bottelen:</t>
  </si>
  <si>
    <t>Temp. Hoofdgisting:</t>
  </si>
  <si>
    <t>Temp. Lagering:</t>
  </si>
  <si>
    <t>Gistsoort hoofgisting:</t>
  </si>
  <si>
    <t>bekomen filtertijd :</t>
  </si>
  <si>
    <t>Koeltijd 100...25°C (min):</t>
  </si>
  <si>
    <t>Gistsoort Bottelen:</t>
  </si>
  <si>
    <t>Event. voorklaartijd:</t>
  </si>
  <si>
    <t>S.G. bij 1e hevelen&gt;&gt;</t>
  </si>
  <si>
    <t>reeds helder?</t>
  </si>
  <si>
    <t>Soort Zuur &gt;&gt;</t>
  </si>
  <si>
    <r>
      <t>Dikte</t>
    </r>
    <r>
      <rPr>
        <sz val="9"/>
        <rFont val="Arial"/>
        <family val="2"/>
      </rPr>
      <t xml:space="preserve"> v.het beslag: du</t>
    </r>
    <r>
      <rPr>
        <b/>
        <u/>
        <sz val="9"/>
        <rFont val="Arial"/>
        <family val="2"/>
      </rPr>
      <t>n</t>
    </r>
    <r>
      <rPr>
        <sz val="9"/>
        <rFont val="Arial"/>
        <family val="2"/>
      </rPr>
      <t xml:space="preserve">, </t>
    </r>
    <r>
      <rPr>
        <b/>
        <u/>
        <sz val="9"/>
        <rFont val="Arial"/>
        <family val="2"/>
      </rPr>
      <t>d</t>
    </r>
    <r>
      <rPr>
        <sz val="9"/>
        <rFont val="Arial"/>
        <family val="2"/>
      </rPr>
      <t>ik of mediu</t>
    </r>
    <r>
      <rPr>
        <b/>
        <u/>
        <sz val="9"/>
        <rFont val="Arial"/>
        <family val="2"/>
      </rPr>
      <t>m</t>
    </r>
    <r>
      <rPr>
        <sz val="9"/>
        <rFont val="Arial"/>
        <family val="2"/>
      </rPr>
      <t>&gt;&gt;</t>
    </r>
  </si>
  <si>
    <t>----</t>
  </si>
  <si>
    <t>EBC-kleur</t>
  </si>
  <si>
    <t>n infuusstappen&gt;</t>
  </si>
  <si>
    <t>Hoev. Maischwater:</t>
  </si>
  <si>
    <r>
      <t>Uw bekomen S.G.</t>
    </r>
    <r>
      <rPr>
        <sz val="8"/>
        <color indexed="8"/>
        <rFont val="Wingdings"/>
        <charset val="2"/>
      </rPr>
      <t>â</t>
    </r>
  </si>
  <si>
    <t>Zuur in spoelwater:</t>
  </si>
  <si>
    <t>Extra zuur in beslag:</t>
  </si>
  <si>
    <t>Zuur in maischwater:</t>
  </si>
  <si>
    <r>
      <t>Mais</t>
    </r>
    <r>
      <rPr>
        <sz val="8"/>
        <color indexed="8"/>
        <rFont val="Arial"/>
        <family val="2"/>
      </rPr>
      <t>vlokken / Maseline</t>
    </r>
  </si>
  <si>
    <t>Havervlokken</t>
  </si>
  <si>
    <t>Event. gistsoort lagering:</t>
  </si>
  <si>
    <r>
      <t>BROUWBLAD V5_2</t>
    </r>
    <r>
      <rPr>
        <sz val="9"/>
        <color indexed="8"/>
        <rFont val="Arial"/>
        <family val="2"/>
      </rPr>
      <t xml:space="preserve">    © R. Baert, Reynaert Wijnmakers- &amp; Brouwersgilde,</t>
    </r>
  </si>
  <si>
    <t>Graantripel</t>
  </si>
  <si>
    <t>p</t>
  </si>
  <si>
    <t>Saaz</t>
  </si>
  <si>
    <t>Hallertau</t>
  </si>
  <si>
    <t>Curaçao</t>
  </si>
  <si>
    <t>Zoete sinaas</t>
  </si>
  <si>
    <t>Muntons Gold</t>
  </si>
  <si>
    <t>S-04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</si>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</sst>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0.000"/>
    <numFmt numFmtId="165" formatCode="mm/dd/yy"/>
    <numFmt numFmtId="166" formatCode="0.0"/>
    <numFmt numFmtId="167" formatCode="0.0%"/>
    <numFmt numFmtId="168" formatCode="dd\-mmm\-yy"/>
    <numFmt numFmtId="169" formatCode="0.0\ \ %"/>
    <numFmt numFmtId="170" formatCode="0.0\ \l\i\t\."/>
    <numFmt numFmtId="171" formatCode="0.0\ \g"/>
    <numFmt numFmtId="172" formatCode="dd\-mm\-yy"/>
    <numFmt numFmtId="173" formatCode="0.0\ \°\C"/>
    <numFmt numFmtId="174" formatCode="0\ \'"/>
    <numFmt numFmtId="175" formatCode="0.0\ \'"/>
    <numFmt numFmtId="176" formatCode="0\ \g"/>
    <numFmt numFmtId="177" formatCode="0.0\ \°"/>
    <numFmt numFmtId="178" formatCode="0.00\ \°"/>
    <numFmt numFmtId="179" formatCode="0.0\ \K\c\a\l"/>
    <numFmt numFmtId="180" formatCode="0&quot; min.&quot;"/>
    <numFmt numFmtId="181" formatCode="0\°"/>
    <numFmt numFmtId="182" formatCode="0.0\ \l"/>
    <numFmt numFmtId="183" formatCode="#,##0.0"/>
    <numFmt numFmtId="184" formatCode="0.0&quot;ml&quot;"/>
    <numFmt numFmtId="185" formatCode="0.0&quot;°C/min.&quot;"/>
  </numFmts>
  <fonts count="34">
    <font>
      <sz val="10"/>
      <name val="Geneva"/>
    </font>
    <font>
      <b/>
      <sz val="10"/>
      <name val="Geneva"/>
    </font>
    <font>
      <b/>
      <i/>
      <sz val="10"/>
      <name val="Geneva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9"/>
      <color indexed="56"/>
      <name val="Arial"/>
      <family val="2"/>
    </font>
    <font>
      <b/>
      <sz val="9"/>
      <color indexed="10"/>
      <name val="Arial"/>
      <family val="2"/>
    </font>
    <font>
      <b/>
      <sz val="9"/>
      <color indexed="56"/>
      <name val="Arial"/>
      <family val="2"/>
    </font>
    <font>
      <b/>
      <sz val="12"/>
      <color indexed="12"/>
      <name val="Arial"/>
      <family val="2"/>
    </font>
    <font>
      <sz val="9"/>
      <color indexed="10"/>
      <name val="Arial"/>
      <family val="2"/>
    </font>
    <font>
      <sz val="9"/>
      <name val="Geneva"/>
    </font>
    <font>
      <b/>
      <sz val="9"/>
      <color indexed="10"/>
      <name val="Arial"/>
    </font>
    <font>
      <b/>
      <i/>
      <sz val="9"/>
      <color indexed="8"/>
      <name val="Arial"/>
    </font>
    <font>
      <sz val="10"/>
      <name val="Arial Narrow"/>
      <family val="2"/>
    </font>
    <font>
      <sz val="9"/>
      <color indexed="8"/>
      <name val="Wingdings"/>
      <charset val="2"/>
    </font>
    <font>
      <sz val="9"/>
      <color indexed="12"/>
      <name val="Arial"/>
      <family val="2"/>
    </font>
    <font>
      <b/>
      <sz val="10"/>
      <color indexed="12"/>
      <name val="Arial"/>
      <family val="2"/>
    </font>
    <font>
      <b/>
      <u/>
      <sz val="9"/>
      <name val="Arial"/>
      <family val="2"/>
    </font>
    <font>
      <sz val="8"/>
      <color indexed="81"/>
      <name val="Tahoma"/>
    </font>
    <font>
      <b/>
      <sz val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8"/>
      <name val="Geneva"/>
    </font>
    <font>
      <sz val="8"/>
      <color indexed="8"/>
      <name val="Wingdings"/>
      <charset val="2"/>
    </font>
    <font>
      <i/>
      <sz val="8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gray125">
        <fgColor indexed="11"/>
        <bgColor indexed="9"/>
      </patternFill>
    </fill>
    <fill>
      <patternFill patternType="lightGray">
        <fgColor indexed="4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1"/>
      </patternFill>
    </fill>
    <fill>
      <patternFill patternType="gray125">
        <fgColor indexed="41"/>
        <bgColor indexed="9"/>
      </patternFill>
    </fill>
    <fill>
      <patternFill patternType="lightGray">
        <fgColor indexed="41"/>
        <bgColor indexed="9"/>
      </patternFill>
    </fill>
    <fill>
      <patternFill patternType="solid">
        <fgColor indexed="9"/>
        <bgColor indexed="41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/>
      <bottom style="hair">
        <color indexed="12"/>
      </bottom>
      <diagonal/>
    </border>
    <border>
      <left style="hair">
        <color indexed="50"/>
      </left>
      <right style="hair">
        <color indexed="50"/>
      </right>
      <top style="hair">
        <color indexed="50"/>
      </top>
      <bottom style="hair">
        <color indexed="50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12"/>
      </right>
      <top style="hair">
        <color indexed="12"/>
      </top>
      <bottom/>
      <diagonal/>
    </border>
    <border>
      <left/>
      <right style="hair">
        <color indexed="12"/>
      </right>
      <top/>
      <bottom/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16" fontId="0" fillId="0" borderId="0" applyFont="0">
      <alignment horizontal="center"/>
    </xf>
  </cellStyleXfs>
  <cellXfs count="193">
    <xf numFmtId="16" fontId="0" fillId="0" borderId="0" xfId="0">
      <alignment horizontal="center"/>
    </xf>
    <xf numFmtId="0" fontId="8" fillId="0" borderId="0" xfId="0" applyNumberFormat="1" applyFont="1" applyAlignment="1" applyProtection="1">
      <alignment horizontal="right"/>
    </xf>
    <xf numFmtId="0" fontId="5" fillId="0" borderId="0" xfId="0" applyNumberFormat="1" applyFont="1" applyProtection="1">
      <alignment horizontal="center"/>
      <protection locked="0"/>
    </xf>
    <xf numFmtId="0" fontId="9" fillId="0" borderId="0" xfId="0" applyNumberFormat="1" applyFont="1" applyProtection="1">
      <alignment horizontal="center"/>
      <protection locked="0"/>
    </xf>
    <xf numFmtId="16" fontId="6" fillId="0" borderId="0" xfId="0" applyFont="1">
      <alignment horizontal="center"/>
    </xf>
    <xf numFmtId="0" fontId="4" fillId="0" borderId="0" xfId="0" applyNumberFormat="1" applyFont="1" applyAlignment="1" applyProtection="1"/>
    <xf numFmtId="0" fontId="8" fillId="0" borderId="0" xfId="0" applyNumberFormat="1" applyFont="1" applyProtection="1">
      <alignment horizontal="center"/>
    </xf>
    <xf numFmtId="0" fontId="9" fillId="0" borderId="0" xfId="0" applyNumberFormat="1" applyFont="1" applyAlignment="1" applyProtection="1">
      <protection locked="0"/>
    </xf>
    <xf numFmtId="166" fontId="9" fillId="0" borderId="0" xfId="0" applyNumberFormat="1" applyFont="1" applyProtection="1">
      <alignment horizontal="center"/>
      <protection locked="0"/>
    </xf>
    <xf numFmtId="2" fontId="9" fillId="0" borderId="0" xfId="0" applyNumberFormat="1" applyFont="1" applyProtection="1">
      <alignment horizontal="center"/>
      <protection hidden="1"/>
    </xf>
    <xf numFmtId="1" fontId="9" fillId="0" borderId="0" xfId="0" applyNumberFormat="1" applyFont="1" applyAlignment="1" applyProtection="1">
      <alignment horizontal="center"/>
    </xf>
    <xf numFmtId="16" fontId="6" fillId="0" borderId="0" xfId="0" applyFont="1" applyProtection="1">
      <alignment horizontal="center"/>
      <protection locked="0"/>
    </xf>
    <xf numFmtId="0" fontId="9" fillId="0" borderId="0" xfId="0" applyNumberFormat="1" applyFont="1" applyBorder="1" applyAlignment="1" applyProtection="1">
      <protection locked="0"/>
    </xf>
    <xf numFmtId="166" fontId="9" fillId="0" borderId="0" xfId="0" applyNumberFormat="1" applyFont="1" applyBorder="1" applyProtection="1">
      <alignment horizontal="center"/>
      <protection locked="0"/>
    </xf>
    <xf numFmtId="0" fontId="9" fillId="0" borderId="0" xfId="0" applyNumberFormat="1" applyFont="1" applyAlignment="1" applyProtection="1">
      <alignment horizontal="left"/>
    </xf>
    <xf numFmtId="16" fontId="6" fillId="0" borderId="0" xfId="0" applyFont="1" applyAlignment="1" applyProtection="1">
      <alignment horizontal="left"/>
      <protection locked="0"/>
    </xf>
    <xf numFmtId="166" fontId="9" fillId="0" borderId="1" xfId="0" applyNumberFormat="1" applyFont="1" applyBorder="1" applyProtection="1">
      <alignment horizontal="center"/>
      <protection locked="0"/>
    </xf>
    <xf numFmtId="0" fontId="8" fillId="0" borderId="0" xfId="0" applyNumberFormat="1" applyFont="1" applyAlignment="1" applyProtection="1">
      <alignment horizontal="right"/>
      <protection hidden="1"/>
    </xf>
    <xf numFmtId="0" fontId="8" fillId="0" borderId="0" xfId="0" applyNumberFormat="1" applyFont="1" applyProtection="1">
      <alignment horizontal="center"/>
      <protection locked="0"/>
    </xf>
    <xf numFmtId="0" fontId="8" fillId="0" borderId="0" xfId="0" applyNumberFormat="1" applyFont="1" applyProtection="1">
      <alignment horizontal="center"/>
      <protection hidden="1"/>
    </xf>
    <xf numFmtId="16" fontId="6" fillId="0" borderId="0" xfId="0" applyFont="1" applyAlignment="1" applyProtection="1">
      <alignment horizontal="left"/>
    </xf>
    <xf numFmtId="0" fontId="9" fillId="0" borderId="0" xfId="0" applyNumberFormat="1" applyFont="1" applyProtection="1">
      <alignment horizontal="center"/>
    </xf>
    <xf numFmtId="0" fontId="8" fillId="0" borderId="0" xfId="0" applyNumberFormat="1" applyFont="1" applyAlignment="1" applyProtection="1"/>
    <xf numFmtId="0" fontId="9" fillId="0" borderId="0" xfId="0" applyNumberFormat="1" applyFont="1" applyAlignment="1" applyProtection="1">
      <alignment horizontal="center"/>
    </xf>
    <xf numFmtId="166" fontId="9" fillId="0" borderId="0" xfId="0" applyNumberFormat="1" applyFont="1" applyAlignment="1" applyProtection="1"/>
    <xf numFmtId="49" fontId="9" fillId="0" borderId="0" xfId="0" applyNumberFormat="1" applyFont="1" applyBorder="1" applyProtection="1">
      <alignment horizontal="center"/>
      <protection locked="0"/>
    </xf>
    <xf numFmtId="1" fontId="9" fillId="0" borderId="0" xfId="0" applyNumberFormat="1" applyFont="1" applyAlignment="1" applyProtection="1"/>
    <xf numFmtId="1" fontId="9" fillId="0" borderId="0" xfId="0" applyNumberFormat="1" applyFont="1" applyBorder="1" applyProtection="1">
      <alignment horizontal="center"/>
      <protection locked="0"/>
    </xf>
    <xf numFmtId="1" fontId="9" fillId="0" borderId="0" xfId="0" applyNumberFormat="1" applyFont="1" applyProtection="1">
      <alignment horizontal="center"/>
      <protection locked="0"/>
    </xf>
    <xf numFmtId="166" fontId="9" fillId="0" borderId="0" xfId="0" applyNumberFormat="1" applyFont="1" applyProtection="1">
      <alignment horizontal="center"/>
    </xf>
    <xf numFmtId="16" fontId="8" fillId="0" borderId="0" xfId="0" applyFont="1" applyAlignment="1" applyProtection="1"/>
    <xf numFmtId="16" fontId="9" fillId="0" borderId="0" xfId="0" applyFont="1" applyBorder="1" applyProtection="1">
      <alignment horizontal="center"/>
      <protection locked="0"/>
    </xf>
    <xf numFmtId="0" fontId="9" fillId="0" borderId="0" xfId="0" applyNumberFormat="1" applyFont="1" applyAlignment="1" applyProtection="1">
      <alignment horizontal="left"/>
      <protection locked="0"/>
    </xf>
    <xf numFmtId="16" fontId="9" fillId="0" borderId="0" xfId="0" applyFont="1" applyProtection="1">
      <alignment horizontal="center"/>
      <protection locked="0"/>
    </xf>
    <xf numFmtId="16" fontId="9" fillId="0" borderId="0" xfId="0" applyFont="1" applyAlignment="1" applyProtection="1">
      <alignment horizontal="left"/>
      <protection locked="0"/>
    </xf>
    <xf numFmtId="174" fontId="9" fillId="0" borderId="1" xfId="0" applyNumberFormat="1" applyFont="1" applyBorder="1" applyProtection="1">
      <alignment horizontal="center"/>
      <protection locked="0"/>
    </xf>
    <xf numFmtId="0" fontId="11" fillId="0" borderId="2" xfId="0" applyNumberFormat="1" applyFont="1" applyBorder="1" applyAlignment="1" applyProtection="1">
      <alignment horizontal="left"/>
      <protection locked="0"/>
    </xf>
    <xf numFmtId="0" fontId="11" fillId="0" borderId="0" xfId="0" applyNumberFormat="1" applyFont="1" applyAlignment="1" applyProtection="1">
      <alignment horizontal="right"/>
      <protection locked="0"/>
    </xf>
    <xf numFmtId="0" fontId="6" fillId="0" borderId="0" xfId="0" applyNumberFormat="1" applyFont="1" applyProtection="1">
      <alignment horizontal="center"/>
      <protection locked="0"/>
    </xf>
    <xf numFmtId="0" fontId="11" fillId="0" borderId="2" xfId="0" applyNumberFormat="1" applyFont="1" applyBorder="1" applyProtection="1">
      <alignment horizontal="center"/>
      <protection locked="0"/>
    </xf>
    <xf numFmtId="0" fontId="3" fillId="0" borderId="0" xfId="0" applyNumberFormat="1" applyFont="1" applyProtection="1">
      <alignment horizontal="center"/>
      <protection locked="0"/>
    </xf>
    <xf numFmtId="0" fontId="11" fillId="0" borderId="3" xfId="0" applyNumberFormat="1" applyFont="1" applyBorder="1" applyAlignment="1" applyProtection="1">
      <alignment horizontal="right"/>
      <protection locked="0"/>
    </xf>
    <xf numFmtId="16" fontId="11" fillId="0" borderId="0" xfId="0" applyFont="1">
      <alignment horizontal="center"/>
    </xf>
    <xf numFmtId="0" fontId="11" fillId="0" borderId="4" xfId="0" applyNumberFormat="1" applyFont="1" applyBorder="1" applyAlignment="1" applyProtection="1">
      <alignment horizontal="left"/>
      <protection locked="0"/>
    </xf>
    <xf numFmtId="166" fontId="9" fillId="0" borderId="5" xfId="0" applyNumberFormat="1" applyFont="1" applyBorder="1" applyAlignment="1" applyProtection="1">
      <alignment horizontal="right"/>
      <protection locked="0"/>
    </xf>
    <xf numFmtId="166" fontId="9" fillId="0" borderId="6" xfId="0" applyNumberFormat="1" applyFont="1" applyBorder="1" applyAlignment="1" applyProtection="1">
      <alignment horizontal="left"/>
      <protection locked="0"/>
    </xf>
    <xf numFmtId="0" fontId="13" fillId="0" borderId="0" xfId="0" applyNumberFormat="1" applyFont="1" applyBorder="1" applyAlignment="1" applyProtection="1">
      <alignment horizontal="left"/>
      <protection locked="0"/>
    </xf>
    <xf numFmtId="0" fontId="10" fillId="0" borderId="7" xfId="0" applyNumberFormat="1" applyFont="1" applyBorder="1" applyProtection="1">
      <alignment horizontal="center"/>
      <protection locked="0"/>
    </xf>
    <xf numFmtId="169" fontId="15" fillId="2" borderId="8" xfId="0" applyNumberFormat="1" applyFont="1" applyFill="1" applyBorder="1" applyAlignment="1" applyProtection="1">
      <alignment horizontal="center"/>
      <protection hidden="1"/>
    </xf>
    <xf numFmtId="169" fontId="15" fillId="2" borderId="8" xfId="0" applyNumberFormat="1" applyFont="1" applyFill="1" applyBorder="1" applyProtection="1">
      <alignment horizontal="center"/>
      <protection hidden="1"/>
    </xf>
    <xf numFmtId="166" fontId="15" fillId="2" borderId="9" xfId="0" applyNumberFormat="1" applyFont="1" applyFill="1" applyBorder="1" applyProtection="1">
      <alignment horizontal="center"/>
      <protection hidden="1"/>
    </xf>
    <xf numFmtId="0" fontId="15" fillId="2" borderId="10" xfId="0" applyNumberFormat="1" applyFont="1" applyFill="1" applyBorder="1" applyAlignment="1" applyProtection="1">
      <alignment horizontal="left"/>
    </xf>
    <xf numFmtId="166" fontId="16" fillId="0" borderId="11" xfId="0" applyNumberFormat="1" applyFont="1" applyBorder="1" applyProtection="1">
      <alignment horizontal="center"/>
      <protection locked="0"/>
    </xf>
    <xf numFmtId="171" fontId="16" fillId="0" borderId="11" xfId="0" applyNumberFormat="1" applyFont="1" applyBorder="1" applyProtection="1">
      <alignment horizontal="center"/>
      <protection locked="0"/>
    </xf>
    <xf numFmtId="170" fontId="16" fillId="0" borderId="11" xfId="0" applyNumberFormat="1" applyFont="1" applyBorder="1" applyProtection="1">
      <alignment horizontal="center"/>
      <protection locked="0"/>
    </xf>
    <xf numFmtId="166" fontId="14" fillId="0" borderId="1" xfId="0" applyNumberFormat="1" applyFont="1" applyBorder="1" applyProtection="1">
      <alignment horizontal="center"/>
      <protection locked="0"/>
    </xf>
    <xf numFmtId="166" fontId="15" fillId="2" borderId="12" xfId="0" applyNumberFormat="1" applyFont="1" applyFill="1" applyBorder="1" applyAlignment="1" applyProtection="1">
      <alignment horizontal="center"/>
      <protection hidden="1"/>
    </xf>
    <xf numFmtId="166" fontId="15" fillId="0" borderId="0" xfId="0" applyNumberFormat="1" applyFont="1" applyProtection="1">
      <alignment horizontal="center"/>
    </xf>
    <xf numFmtId="0" fontId="14" fillId="0" borderId="1" xfId="0" applyNumberFormat="1" applyFont="1" applyBorder="1" applyProtection="1">
      <alignment horizontal="center"/>
      <protection locked="0"/>
    </xf>
    <xf numFmtId="167" fontId="15" fillId="2" borderId="8" xfId="0" applyNumberFormat="1" applyFont="1" applyFill="1" applyBorder="1" applyAlignment="1" applyProtection="1">
      <alignment horizontal="center"/>
      <protection hidden="1"/>
    </xf>
    <xf numFmtId="174" fontId="9" fillId="0" borderId="6" xfId="0" applyNumberFormat="1" applyFont="1" applyBorder="1" applyAlignment="1" applyProtection="1">
      <alignment horizontal="left"/>
      <protection locked="0"/>
    </xf>
    <xf numFmtId="174" fontId="9" fillId="0" borderId="5" xfId="0" applyNumberFormat="1" applyFont="1" applyBorder="1" applyAlignment="1" applyProtection="1">
      <alignment horizontal="right"/>
      <protection locked="0"/>
    </xf>
    <xf numFmtId="166" fontId="19" fillId="0" borderId="0" xfId="0" applyNumberFormat="1" applyFont="1" applyProtection="1">
      <alignment horizontal="center"/>
      <protection hidden="1"/>
    </xf>
    <xf numFmtId="0" fontId="3" fillId="0" borderId="0" xfId="0" applyNumberFormat="1" applyFont="1" applyAlignment="1" applyProtection="1">
      <protection locked="0"/>
    </xf>
    <xf numFmtId="16" fontId="8" fillId="0" borderId="0" xfId="0" applyFont="1" applyAlignment="1" applyProtection="1">
      <alignment horizontal="left"/>
    </xf>
    <xf numFmtId="165" fontId="9" fillId="0" borderId="0" xfId="0" applyNumberFormat="1" applyFont="1" applyBorder="1" applyProtection="1">
      <alignment horizontal="center"/>
    </xf>
    <xf numFmtId="0" fontId="8" fillId="0" borderId="0" xfId="0" applyNumberFormat="1" applyFont="1" applyAlignment="1" applyProtection="1">
      <alignment horizontal="center"/>
    </xf>
    <xf numFmtId="0" fontId="8" fillId="0" borderId="0" xfId="0" applyNumberFormat="1" applyFont="1" applyAlignment="1" applyProtection="1">
      <alignment horizontal="left"/>
    </xf>
    <xf numFmtId="16" fontId="9" fillId="0" borderId="0" xfId="0" applyFont="1" applyAlignment="1" applyProtection="1">
      <alignment horizontal="left"/>
    </xf>
    <xf numFmtId="166" fontId="3" fillId="0" borderId="0" xfId="0" applyNumberFormat="1" applyFont="1" applyBorder="1" applyAlignment="1" applyProtection="1">
      <alignment horizontal="left"/>
    </xf>
    <xf numFmtId="10" fontId="3" fillId="0" borderId="0" xfId="0" applyNumberFormat="1" applyFont="1" applyBorder="1" applyAlignment="1" applyProtection="1">
      <alignment horizontal="left"/>
    </xf>
    <xf numFmtId="16" fontId="3" fillId="0" borderId="0" xfId="0" applyFont="1" applyBorder="1" applyAlignment="1" applyProtection="1">
      <alignment horizontal="right"/>
    </xf>
    <xf numFmtId="16" fontId="11" fillId="0" borderId="0" xfId="0" applyFont="1" applyBorder="1" applyAlignment="1" applyProtection="1">
      <alignment horizontal="left"/>
    </xf>
    <xf numFmtId="16" fontId="1" fillId="0" borderId="0" xfId="0" applyFont="1" applyAlignment="1" applyProtection="1">
      <alignment horizontal="right"/>
      <protection hidden="1"/>
    </xf>
    <xf numFmtId="177" fontId="15" fillId="2" borderId="11" xfId="0" applyNumberFormat="1" applyFont="1" applyFill="1" applyBorder="1" applyAlignment="1" applyProtection="1">
      <alignment horizontal="center"/>
      <protection hidden="1"/>
    </xf>
    <xf numFmtId="16" fontId="7" fillId="0" borderId="0" xfId="0" applyFont="1" applyAlignment="1">
      <alignment horizontal="right"/>
    </xf>
    <xf numFmtId="0" fontId="13" fillId="0" borderId="1" xfId="0" applyNumberFormat="1" applyFont="1" applyBorder="1" applyProtection="1">
      <alignment horizontal="center"/>
      <protection locked="0"/>
    </xf>
    <xf numFmtId="178" fontId="15" fillId="2" borderId="11" xfId="0" applyNumberFormat="1" applyFont="1" applyFill="1" applyBorder="1" applyProtection="1">
      <alignment horizontal="center"/>
      <protection hidden="1"/>
    </xf>
    <xf numFmtId="1" fontId="9" fillId="0" borderId="0" xfId="0" applyNumberFormat="1" applyFont="1" applyBorder="1" applyAlignment="1" applyProtection="1">
      <alignment horizontal="left"/>
      <protection hidden="1"/>
    </xf>
    <xf numFmtId="166" fontId="3" fillId="0" borderId="0" xfId="0" applyNumberFormat="1" applyFont="1" applyAlignment="1" applyProtection="1">
      <alignment horizontal="left"/>
      <protection locked="0"/>
    </xf>
    <xf numFmtId="16" fontId="19" fillId="0" borderId="0" xfId="0" applyFont="1">
      <alignment horizontal="center"/>
    </xf>
    <xf numFmtId="179" fontId="15" fillId="2" borderId="13" xfId="0" applyNumberFormat="1" applyFont="1" applyFill="1" applyBorder="1" applyAlignment="1" applyProtection="1">
      <alignment horizontal="center"/>
      <protection hidden="1"/>
    </xf>
    <xf numFmtId="0" fontId="20" fillId="2" borderId="14" xfId="0" applyNumberFormat="1" applyFont="1" applyFill="1" applyBorder="1" applyAlignment="1" applyProtection="1">
      <alignment horizontal="right"/>
      <protection hidden="1"/>
    </xf>
    <xf numFmtId="16" fontId="2" fillId="0" borderId="0" xfId="0" applyFont="1" applyAlignment="1">
      <alignment horizontal="right"/>
    </xf>
    <xf numFmtId="0" fontId="21" fillId="0" borderId="0" xfId="0" applyNumberFormat="1" applyFont="1" applyAlignment="1" applyProtection="1">
      <alignment horizontal="right"/>
      <protection locked="0"/>
    </xf>
    <xf numFmtId="16" fontId="2" fillId="0" borderId="0" xfId="0" applyFont="1" applyAlignment="1" applyProtection="1">
      <alignment horizontal="left"/>
    </xf>
    <xf numFmtId="166" fontId="21" fillId="0" borderId="0" xfId="0" applyNumberFormat="1" applyFont="1" applyAlignment="1" applyProtection="1">
      <alignment horizontal="right"/>
    </xf>
    <xf numFmtId="0" fontId="21" fillId="0" borderId="0" xfId="0" applyNumberFormat="1" applyFont="1" applyAlignment="1" applyProtection="1">
      <alignment horizontal="left"/>
    </xf>
    <xf numFmtId="0" fontId="9" fillId="0" borderId="0" xfId="0" applyNumberFormat="1" applyFont="1" applyAlignment="1" applyProtection="1">
      <alignment horizontal="right"/>
      <protection locked="0"/>
    </xf>
    <xf numFmtId="0" fontId="12" fillId="0" borderId="0" xfId="0" applyNumberFormat="1" applyFont="1" applyAlignment="1" applyProtection="1">
      <alignment horizontal="right"/>
    </xf>
    <xf numFmtId="0" fontId="12" fillId="0" borderId="0" xfId="0" applyNumberFormat="1" applyFont="1" applyAlignment="1" applyProtection="1"/>
    <xf numFmtId="16" fontId="6" fillId="0" borderId="0" xfId="0" applyFont="1" applyAlignment="1">
      <alignment horizontal="right"/>
    </xf>
    <xf numFmtId="1" fontId="9" fillId="0" borderId="0" xfId="0" quotePrefix="1" applyNumberFormat="1" applyFont="1" applyAlignment="1" applyProtection="1">
      <alignment horizontal="left"/>
    </xf>
    <xf numFmtId="0" fontId="9" fillId="0" borderId="0" xfId="0" quotePrefix="1" applyNumberFormat="1" applyFont="1" applyAlignment="1" applyProtection="1">
      <alignment horizontal="left"/>
    </xf>
    <xf numFmtId="16" fontId="22" fillId="0" borderId="0" xfId="0" applyFont="1" applyAlignment="1">
      <alignment horizontal="right"/>
    </xf>
    <xf numFmtId="1" fontId="9" fillId="0" borderId="0" xfId="0" quotePrefix="1" applyNumberFormat="1" applyFont="1" applyBorder="1" applyAlignment="1" applyProtection="1">
      <alignment horizontal="center"/>
    </xf>
    <xf numFmtId="49" fontId="0" fillId="0" borderId="0" xfId="0" applyNumberForma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0" fontId="5" fillId="0" borderId="0" xfId="0" quotePrefix="1" applyNumberFormat="1" applyFont="1" applyProtection="1">
      <alignment horizontal="center"/>
      <protection locked="0"/>
    </xf>
    <xf numFmtId="0" fontId="11" fillId="0" borderId="15" xfId="0" applyNumberFormat="1" applyFont="1" applyBorder="1" applyAlignment="1" applyProtection="1">
      <alignment horizontal="left"/>
      <protection locked="0"/>
    </xf>
    <xf numFmtId="0" fontId="25" fillId="2" borderId="11" xfId="0" applyNumberFormat="1" applyFont="1" applyFill="1" applyBorder="1" applyAlignment="1" applyProtection="1">
      <alignment horizontal="center"/>
      <protection locked="0"/>
    </xf>
    <xf numFmtId="49" fontId="25" fillId="2" borderId="11" xfId="0" applyNumberFormat="1" applyFont="1" applyFill="1" applyBorder="1" applyAlignment="1" applyProtection="1">
      <alignment horizontal="center"/>
      <protection locked="0"/>
    </xf>
    <xf numFmtId="181" fontId="25" fillId="2" borderId="11" xfId="0" applyNumberFormat="1" applyFont="1" applyFill="1" applyBorder="1" applyAlignment="1" applyProtection="1">
      <alignment horizontal="center"/>
      <protection locked="0"/>
    </xf>
    <xf numFmtId="170" fontId="25" fillId="2" borderId="11" xfId="0" applyNumberFormat="1" applyFont="1" applyFill="1" applyBorder="1" applyAlignment="1" applyProtection="1">
      <alignment horizontal="center"/>
      <protection locked="0"/>
    </xf>
    <xf numFmtId="180" fontId="25" fillId="2" borderId="11" xfId="0" applyNumberFormat="1" applyFont="1" applyFill="1" applyBorder="1" applyAlignment="1" applyProtection="1">
      <alignment horizontal="center"/>
      <protection locked="0"/>
    </xf>
    <xf numFmtId="9" fontId="25" fillId="2" borderId="11" xfId="0" applyNumberFormat="1" applyFont="1" applyFill="1" applyBorder="1" applyAlignment="1" applyProtection="1">
      <alignment horizontal="center"/>
      <protection locked="0"/>
    </xf>
    <xf numFmtId="183" fontId="15" fillId="2" borderId="12" xfId="0" applyNumberFormat="1" applyFont="1" applyFill="1" applyBorder="1" applyProtection="1">
      <alignment horizontal="center"/>
      <protection hidden="1"/>
    </xf>
    <xf numFmtId="16" fontId="19" fillId="0" borderId="0" xfId="0" applyFont="1" applyAlignment="1">
      <alignment horizontal="right"/>
    </xf>
    <xf numFmtId="0" fontId="9" fillId="3" borderId="0" xfId="0" applyNumberFormat="1" applyFont="1" applyFill="1" applyAlignment="1" applyProtection="1">
      <protection locked="0"/>
    </xf>
    <xf numFmtId="166" fontId="9" fillId="3" borderId="0" xfId="0" applyNumberFormat="1" applyFont="1" applyFill="1" applyProtection="1">
      <alignment horizontal="center"/>
      <protection locked="0"/>
    </xf>
    <xf numFmtId="2" fontId="9" fillId="3" borderId="0" xfId="0" applyNumberFormat="1" applyFont="1" applyFill="1" applyProtection="1">
      <alignment horizontal="center"/>
      <protection hidden="1"/>
    </xf>
    <xf numFmtId="0" fontId="9" fillId="3" borderId="0" xfId="0" applyNumberFormat="1" applyFont="1" applyFill="1" applyBorder="1" applyAlignment="1" applyProtection="1">
      <protection locked="0"/>
    </xf>
    <xf numFmtId="166" fontId="9" fillId="3" borderId="0" xfId="0" applyNumberFormat="1" applyFont="1" applyFill="1" applyBorder="1" applyProtection="1">
      <alignment horizontal="center"/>
      <protection locked="0"/>
    </xf>
    <xf numFmtId="49" fontId="14" fillId="4" borderId="1" xfId="0" applyNumberFormat="1" applyFont="1" applyFill="1" applyBorder="1" applyProtection="1">
      <alignment horizontal="center"/>
      <protection locked="0"/>
    </xf>
    <xf numFmtId="176" fontId="14" fillId="4" borderId="1" xfId="0" applyNumberFormat="1" applyFont="1" applyFill="1" applyBorder="1" applyProtection="1">
      <alignment horizontal="center"/>
      <protection locked="0"/>
    </xf>
    <xf numFmtId="174" fontId="14" fillId="4" borderId="1" xfId="0" applyNumberFormat="1" applyFont="1" applyFill="1" applyBorder="1" applyProtection="1">
      <alignment horizontal="center"/>
      <protection locked="0"/>
    </xf>
    <xf numFmtId="175" fontId="9" fillId="4" borderId="7" xfId="0" applyNumberFormat="1" applyFont="1" applyFill="1" applyBorder="1" applyAlignment="1" applyProtection="1">
      <alignment horizontal="center"/>
      <protection locked="0"/>
    </xf>
    <xf numFmtId="0" fontId="10" fillId="4" borderId="7" xfId="0" applyNumberFormat="1" applyFont="1" applyFill="1" applyBorder="1" applyProtection="1">
      <alignment horizontal="center"/>
      <protection locked="0"/>
    </xf>
    <xf numFmtId="0" fontId="10" fillId="4" borderId="2" xfId="0" applyNumberFormat="1" applyFont="1" applyFill="1" applyBorder="1" applyAlignment="1" applyProtection="1">
      <alignment horizontal="left"/>
      <protection locked="0"/>
    </xf>
    <xf numFmtId="0" fontId="11" fillId="4" borderId="2" xfId="0" applyNumberFormat="1" applyFont="1" applyFill="1" applyBorder="1" applyProtection="1">
      <alignment horizontal="center"/>
      <protection locked="0"/>
    </xf>
    <xf numFmtId="0" fontId="11" fillId="4" borderId="3" xfId="0" applyNumberFormat="1" applyFont="1" applyFill="1" applyBorder="1" applyAlignment="1" applyProtection="1">
      <alignment horizontal="right"/>
      <protection locked="0"/>
    </xf>
    <xf numFmtId="0" fontId="11" fillId="4" borderId="2" xfId="0" applyNumberFormat="1" applyFont="1" applyFill="1" applyBorder="1" applyAlignment="1" applyProtection="1">
      <alignment horizontal="left"/>
      <protection locked="0"/>
    </xf>
    <xf numFmtId="0" fontId="11" fillId="4" borderId="0" xfId="0" applyNumberFormat="1" applyFont="1" applyFill="1" applyAlignment="1" applyProtection="1">
      <alignment horizontal="right"/>
      <protection locked="0"/>
    </xf>
    <xf numFmtId="0" fontId="11" fillId="4" borderId="4" xfId="0" applyNumberFormat="1" applyFont="1" applyFill="1" applyBorder="1" applyAlignment="1" applyProtection="1">
      <alignment horizontal="left"/>
      <protection locked="0"/>
    </xf>
    <xf numFmtId="166" fontId="11" fillId="4" borderId="1" xfId="0" applyNumberFormat="1" applyFont="1" applyFill="1" applyBorder="1" applyAlignment="1" applyProtection="1">
      <alignment horizontal="left"/>
      <protection locked="0"/>
    </xf>
    <xf numFmtId="49" fontId="11" fillId="4" borderId="2" xfId="0" applyNumberFormat="1" applyFont="1" applyFill="1" applyBorder="1" applyAlignment="1" applyProtection="1">
      <alignment horizontal="left"/>
      <protection locked="0"/>
    </xf>
    <xf numFmtId="185" fontId="9" fillId="0" borderId="0" xfId="0" applyNumberFormat="1" applyFont="1" applyProtection="1">
      <alignment horizontal="center"/>
      <protection locked="0"/>
    </xf>
    <xf numFmtId="2" fontId="9" fillId="5" borderId="0" xfId="0" applyNumberFormat="1" applyFont="1" applyFill="1" applyProtection="1">
      <alignment horizontal="center"/>
      <protection hidden="1"/>
    </xf>
    <xf numFmtId="2" fontId="9" fillId="6" borderId="0" xfId="0" applyNumberFormat="1" applyFont="1" applyFill="1" applyProtection="1">
      <alignment horizontal="center"/>
      <protection hidden="1"/>
    </xf>
    <xf numFmtId="174" fontId="18" fillId="7" borderId="16" xfId="0" applyNumberFormat="1" applyFont="1" applyFill="1" applyBorder="1" applyProtection="1">
      <alignment horizontal="center"/>
      <protection hidden="1"/>
    </xf>
    <xf numFmtId="174" fontId="18" fillId="7" borderId="17" xfId="0" applyNumberFormat="1" applyFont="1" applyFill="1" applyBorder="1" applyProtection="1">
      <alignment horizontal="center"/>
      <protection hidden="1"/>
    </xf>
    <xf numFmtId="174" fontId="18" fillId="7" borderId="18" xfId="0" applyNumberFormat="1" applyFont="1" applyFill="1" applyBorder="1" applyProtection="1">
      <alignment horizontal="center"/>
      <protection hidden="1"/>
    </xf>
    <xf numFmtId="164" fontId="14" fillId="3" borderId="19" xfId="0" applyNumberFormat="1" applyFont="1" applyFill="1" applyBorder="1" applyAlignment="1" applyProtection="1">
      <alignment horizontal="center"/>
      <protection locked="0"/>
    </xf>
    <xf numFmtId="164" fontId="14" fillId="6" borderId="19" xfId="0" applyNumberFormat="1" applyFont="1" applyFill="1" applyBorder="1" applyAlignment="1" applyProtection="1">
      <alignment horizontal="center"/>
      <protection locked="0"/>
    </xf>
    <xf numFmtId="164" fontId="14" fillId="8" borderId="20" xfId="0" applyNumberFormat="1" applyFont="1" applyFill="1" applyBorder="1" applyAlignment="1" applyProtection="1">
      <alignment horizontal="center"/>
      <protection locked="0"/>
    </xf>
    <xf numFmtId="2" fontId="9" fillId="8" borderId="21" xfId="0" applyNumberFormat="1" applyFont="1" applyFill="1" applyBorder="1" applyProtection="1">
      <alignment horizontal="center"/>
      <protection hidden="1"/>
    </xf>
    <xf numFmtId="166" fontId="9" fillId="8" borderId="21" xfId="0" applyNumberFormat="1" applyFont="1" applyFill="1" applyBorder="1" applyProtection="1">
      <alignment horizontal="center"/>
      <protection locked="0"/>
    </xf>
    <xf numFmtId="166" fontId="9" fillId="0" borderId="0" xfId="0" applyNumberFormat="1" applyFont="1" applyFill="1" applyBorder="1" applyProtection="1">
      <alignment horizontal="center"/>
      <protection locked="0"/>
    </xf>
    <xf numFmtId="166" fontId="9" fillId="8" borderId="0" xfId="0" applyNumberFormat="1" applyFont="1" applyFill="1" applyBorder="1" applyProtection="1">
      <alignment horizontal="center"/>
      <protection locked="0"/>
    </xf>
    <xf numFmtId="2" fontId="9" fillId="9" borderId="0" xfId="0" applyNumberFormat="1" applyFont="1" applyFill="1" applyBorder="1" applyProtection="1">
      <alignment horizontal="center"/>
      <protection hidden="1"/>
    </xf>
    <xf numFmtId="2" fontId="9" fillId="8" borderId="0" xfId="0" applyNumberFormat="1" applyFont="1" applyFill="1" applyBorder="1" applyProtection="1">
      <alignment horizontal="center"/>
      <protection hidden="1"/>
    </xf>
    <xf numFmtId="0" fontId="6" fillId="0" borderId="0" xfId="0" applyNumberFormat="1" applyFont="1" applyProtection="1">
      <alignment horizontal="center"/>
      <protection hidden="1"/>
    </xf>
    <xf numFmtId="16" fontId="28" fillId="0" borderId="0" xfId="0" applyFont="1" applyAlignment="1">
      <alignment horizontal="right"/>
    </xf>
    <xf numFmtId="0" fontId="9" fillId="0" borderId="0" xfId="0" quotePrefix="1" applyNumberFormat="1" applyFont="1" applyAlignment="1" applyProtection="1">
      <alignment horizontal="center"/>
    </xf>
    <xf numFmtId="0" fontId="5" fillId="0" borderId="0" xfId="0" applyNumberFormat="1" applyFont="1" applyAlignment="1" applyProtection="1"/>
    <xf numFmtId="0" fontId="24" fillId="0" borderId="0" xfId="0" applyNumberFormat="1" applyFont="1" applyAlignment="1" applyProtection="1">
      <alignment horizontal="right"/>
      <protection locked="0"/>
    </xf>
    <xf numFmtId="1" fontId="25" fillId="2" borderId="11" xfId="0" applyNumberFormat="1" applyFont="1" applyFill="1" applyBorder="1" applyAlignment="1" applyProtection="1">
      <alignment horizontal="center"/>
      <protection locked="0"/>
    </xf>
    <xf numFmtId="16" fontId="3" fillId="0" borderId="0" xfId="0" applyFont="1" applyProtection="1">
      <alignment horizontal="center"/>
      <protection locked="0"/>
    </xf>
    <xf numFmtId="2" fontId="25" fillId="2" borderId="11" xfId="0" applyNumberFormat="1" applyFont="1" applyFill="1" applyBorder="1" applyAlignment="1" applyProtection="1">
      <alignment horizontal="center"/>
      <protection locked="0"/>
    </xf>
    <xf numFmtId="2" fontId="29" fillId="0" borderId="0" xfId="0" applyNumberFormat="1" applyFont="1" applyProtection="1">
      <alignment horizontal="center"/>
      <protection hidden="1"/>
    </xf>
    <xf numFmtId="2" fontId="10" fillId="0" borderId="0" xfId="0" applyNumberFormat="1" applyFont="1" applyProtection="1">
      <alignment horizontal="center"/>
      <protection hidden="1"/>
    </xf>
    <xf numFmtId="2" fontId="30" fillId="0" borderId="0" xfId="0" applyNumberFormat="1" applyFont="1" applyProtection="1">
      <alignment horizontal="center"/>
      <protection hidden="1"/>
    </xf>
    <xf numFmtId="1" fontId="30" fillId="0" borderId="0" xfId="0" applyNumberFormat="1" applyFont="1" applyProtection="1">
      <alignment horizontal="center"/>
      <protection hidden="1"/>
    </xf>
    <xf numFmtId="16" fontId="30" fillId="0" borderId="0" xfId="0" applyFont="1" applyProtection="1">
      <alignment horizontal="center"/>
      <protection hidden="1"/>
    </xf>
    <xf numFmtId="16" fontId="11" fillId="0" borderId="0" xfId="0" applyFont="1" applyAlignment="1">
      <alignment horizontal="right"/>
    </xf>
    <xf numFmtId="16" fontId="31" fillId="0" borderId="0" xfId="0" applyFont="1" applyAlignment="1">
      <alignment horizontal="right"/>
    </xf>
    <xf numFmtId="1" fontId="3" fillId="0" borderId="0" xfId="0" quotePrefix="1" applyNumberFormat="1" applyFont="1" applyAlignment="1" applyProtection="1">
      <alignment horizontal="left"/>
    </xf>
    <xf numFmtId="16" fontId="11" fillId="0" borderId="0" xfId="0" applyFont="1" applyAlignment="1" applyProtection="1">
      <alignment horizontal="right"/>
    </xf>
    <xf numFmtId="16" fontId="31" fillId="0" borderId="0" xfId="0" applyFont="1">
      <alignment horizontal="center"/>
    </xf>
    <xf numFmtId="1" fontId="3" fillId="0" borderId="0" xfId="0" applyNumberFormat="1" applyFont="1" applyAlignment="1" applyProtection="1">
      <alignment horizontal="left"/>
    </xf>
    <xf numFmtId="184" fontId="15" fillId="2" borderId="11" xfId="0" applyNumberFormat="1" applyFont="1" applyFill="1" applyBorder="1" applyAlignment="1" applyProtection="1">
      <alignment horizontal="right"/>
      <protection hidden="1"/>
    </xf>
    <xf numFmtId="184" fontId="15" fillId="2" borderId="22" xfId="0" applyNumberFormat="1" applyFont="1" applyFill="1" applyBorder="1" applyAlignment="1" applyProtection="1">
      <alignment horizontal="right"/>
      <protection hidden="1"/>
    </xf>
    <xf numFmtId="0" fontId="4" fillId="0" borderId="0" xfId="0" applyNumberFormat="1" applyFont="1" applyProtection="1">
      <alignment horizontal="center"/>
      <protection hidden="1"/>
    </xf>
    <xf numFmtId="0" fontId="4" fillId="2" borderId="23" xfId="0" applyNumberFormat="1" applyFont="1" applyFill="1" applyBorder="1" applyProtection="1">
      <alignment horizontal="center"/>
      <protection hidden="1"/>
    </xf>
    <xf numFmtId="16" fontId="10" fillId="0" borderId="0" xfId="0" applyFont="1">
      <alignment horizontal="center"/>
    </xf>
    <xf numFmtId="182" fontId="15" fillId="2" borderId="11" xfId="0" applyNumberFormat="1" applyFont="1" applyFill="1" applyBorder="1" applyAlignment="1" applyProtection="1">
      <alignment horizontal="right"/>
      <protection hidden="1"/>
    </xf>
    <xf numFmtId="1" fontId="33" fillId="0" borderId="0" xfId="0" applyNumberFormat="1" applyFont="1" applyFill="1" applyBorder="1" applyAlignment="1" applyProtection="1">
      <alignment horizontal="center"/>
      <protection hidden="1"/>
    </xf>
    <xf numFmtId="0" fontId="9" fillId="8" borderId="24" xfId="0" applyNumberFormat="1" applyFont="1" applyFill="1" applyBorder="1" applyAlignment="1" applyProtection="1">
      <protection locked="0"/>
    </xf>
    <xf numFmtId="0" fontId="3" fillId="0" borderId="25" xfId="0" applyNumberFormat="1" applyFont="1" applyFill="1" applyBorder="1" applyAlignment="1" applyProtection="1">
      <protection locked="0"/>
    </xf>
    <xf numFmtId="0" fontId="9" fillId="8" borderId="25" xfId="0" applyNumberFormat="1" applyFont="1" applyFill="1" applyBorder="1" applyAlignment="1" applyProtection="1">
      <protection locked="0"/>
    </xf>
    <xf numFmtId="0" fontId="4" fillId="0" borderId="0" xfId="0" applyNumberFormat="1" applyFont="1" applyProtection="1">
      <alignment horizontal="center"/>
    </xf>
    <xf numFmtId="0" fontId="3" fillId="2" borderId="23" xfId="0" applyNumberFormat="1" applyFont="1" applyFill="1" applyBorder="1" applyAlignment="1" applyProtection="1">
      <alignment horizontal="center"/>
      <protection hidden="1"/>
    </xf>
    <xf numFmtId="16" fontId="11" fillId="0" borderId="0" xfId="0" applyFont="1" applyProtection="1">
      <alignment horizontal="center"/>
      <protection hidden="1"/>
    </xf>
    <xf numFmtId="16" fontId="6" fillId="0" borderId="0" xfId="0" applyFont="1" applyProtection="1">
      <alignment horizontal="center"/>
      <protection hidden="1"/>
    </xf>
    <xf numFmtId="16" fontId="6" fillId="0" borderId="0" xfId="0" applyFont="1" applyProtection="1">
      <alignment horizontal="center"/>
    </xf>
    <xf numFmtId="1" fontId="9" fillId="0" borderId="0" xfId="0" applyNumberFormat="1" applyFont="1" applyBorder="1" applyAlignment="1" applyProtection="1">
      <alignment horizontal="center"/>
    </xf>
    <xf numFmtId="166" fontId="9" fillId="0" borderId="6" xfId="0" applyNumberFormat="1" applyFont="1" applyBorder="1" applyAlignment="1" applyProtection="1">
      <alignment horizontal="center"/>
      <protection locked="0"/>
    </xf>
    <xf numFmtId="173" fontId="9" fillId="4" borderId="26" xfId="0" applyNumberFormat="1" applyFont="1" applyFill="1" applyBorder="1" applyAlignment="1" applyProtection="1">
      <alignment horizontal="center"/>
      <protection locked="0"/>
    </xf>
    <xf numFmtId="172" fontId="9" fillId="0" borderId="6" xfId="0" applyNumberFormat="1" applyFont="1" applyBorder="1" applyAlignment="1" applyProtection="1">
      <alignment horizontal="center"/>
      <protection locked="0"/>
    </xf>
    <xf numFmtId="173" fontId="9" fillId="0" borderId="6" xfId="0" applyNumberFormat="1" applyFont="1" applyBorder="1" applyAlignment="1" applyProtection="1">
      <alignment horizontal="center"/>
      <protection locked="0"/>
    </xf>
    <xf numFmtId="174" fontId="9" fillId="0" borderId="6" xfId="0" applyNumberFormat="1" applyFont="1" applyBorder="1" applyProtection="1">
      <alignment horizontal="center"/>
      <protection locked="0"/>
    </xf>
    <xf numFmtId="175" fontId="9" fillId="0" borderId="3" xfId="0" applyNumberFormat="1" applyFont="1" applyBorder="1" applyAlignment="1" applyProtection="1">
      <alignment horizontal="center"/>
      <protection locked="0"/>
    </xf>
    <xf numFmtId="175" fontId="9" fillId="4" borderId="3" xfId="0" applyNumberFormat="1" applyFont="1" applyFill="1" applyBorder="1" applyAlignment="1" applyProtection="1">
      <alignment horizontal="center"/>
      <protection locked="0"/>
    </xf>
    <xf numFmtId="0" fontId="9" fillId="4" borderId="3" xfId="0" quotePrefix="1" applyNumberFormat="1" applyFont="1" applyFill="1" applyBorder="1" applyAlignment="1" applyProtection="1">
      <alignment horizontal="center"/>
      <protection locked="0"/>
    </xf>
    <xf numFmtId="173" fontId="9" fillId="0" borderId="26" xfId="0" applyNumberFormat="1" applyFont="1" applyBorder="1" applyAlignment="1" applyProtection="1">
      <alignment horizontal="center"/>
      <protection locked="0"/>
    </xf>
    <xf numFmtId="173" fontId="3" fillId="0" borderId="27" xfId="0" applyNumberFormat="1" applyFont="1" applyBorder="1" applyAlignment="1" applyProtection="1">
      <alignment horizontal="left"/>
      <protection locked="0"/>
    </xf>
    <xf numFmtId="0" fontId="11" fillId="4" borderId="28" xfId="0" applyNumberFormat="1" applyFont="1" applyFill="1" applyBorder="1" applyAlignment="1" applyProtection="1">
      <alignment horizontal="left"/>
      <protection locked="0"/>
    </xf>
    <xf numFmtId="0" fontId="6" fillId="0" borderId="28" xfId="0" applyNumberFormat="1" applyFont="1" applyBorder="1" applyProtection="1">
      <alignment horizontal="center"/>
      <protection locked="0"/>
    </xf>
    <xf numFmtId="0" fontId="6" fillId="4" borderId="29" xfId="0" applyNumberFormat="1" applyFont="1" applyFill="1" applyBorder="1" applyProtection="1">
      <alignment horizontal="center"/>
      <protection locked="0"/>
    </xf>
    <xf numFmtId="168" fontId="10" fillId="0" borderId="4" xfId="0" applyNumberFormat="1" applyFont="1" applyBorder="1" applyAlignment="1" applyProtection="1">
      <alignment horizontal="center"/>
      <protection locked="0"/>
    </xf>
    <xf numFmtId="168" fontId="10" fillId="0" borderId="3" xfId="0" applyNumberFormat="1" applyFont="1" applyBorder="1" applyAlignment="1" applyProtection="1">
      <alignment horizontal="center"/>
      <protection locked="0"/>
    </xf>
    <xf numFmtId="0" fontId="17" fillId="0" borderId="9" xfId="0" applyNumberFormat="1" applyFont="1" applyBorder="1" applyAlignment="1" applyProtection="1">
      <alignment horizontal="center"/>
      <protection locked="0"/>
    </xf>
    <xf numFmtId="0" fontId="17" fillId="0" borderId="10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49</xdr:row>
      <xdr:rowOff>85725</xdr:rowOff>
    </xdr:from>
    <xdr:to>
      <xdr:col>8</xdr:col>
      <xdr:colOff>523875</xdr:colOff>
      <xdr:row>59</xdr:row>
      <xdr:rowOff>142875</xdr:rowOff>
    </xdr:to>
    <xdr:sp macro="" textlink="">
      <xdr:nvSpPr>
        <xdr:cNvPr id="1056" name="Text Box 32"/>
        <xdr:cNvSpPr txBox="1">
          <a:spLocks noChangeArrowheads="1"/>
        </xdr:cNvSpPr>
      </xdr:nvSpPr>
      <xdr:spPr bwMode="auto">
        <a:xfrm>
          <a:off x="28575" y="7248525"/>
          <a:ext cx="5553075" cy="1581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Enkele geheugensteuntjes: 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Kleuren in EBC: B.v. Pils = 5..9, Tripel = 12..20, Amber = 18..30, Rodenbach = 55, Kriek = 60,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Abdij donker = 55..95, stout = 150..235.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Bitterheid in EBU:  B.v. Witbier en Zure bieren: 15 EBU, Pils: 22...26 EBU, Abdijbieren: 20...33 EBU, Orval: 40 EBU, Duvel: 32 EBU, Guiness: 45 EBU. Maak voor bier van Start SG:   1050: 24 EBU,   1060: 32 EBU,    1070: 40 EBU,    1080: 45 EBU,    1090: 50 EBU.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Noteer: De berekening voor zuurtoevoeging is veiligheidshalve zeer minimaal gehouden, afhankelijk van de moutsoorten zal u nog meer moeten aanzuren, vooral bij gebruik van veel bleke gerstmoutsoorten.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De beslagdikte en het aantal gekozen infusiestappen bepalen het te verwachten S.G.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Het paswoord (om de formulevelden te beveiligen) is:   &lt; </a:t>
          </a:r>
          <a:r>
            <a:rPr lang="nl-BE" sz="900" b="0" i="0" u="none" strike="noStrike" baseline="0">
              <a:solidFill>
                <a:srgbClr val="FF0000"/>
              </a:solidFill>
              <a:latin typeface="Geneva"/>
            </a:rPr>
            <a:t>brouwmee</a:t>
          </a: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 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9"/>
  <sheetViews>
    <sheetView showGridLines="0" tabSelected="1" workbookViewId="0">
      <selection sqref="A1:B1"/>
    </sheetView>
  </sheetViews>
  <sheetFormatPr defaultColWidth="10.7109375" defaultRowHeight="12" customHeight="1"/>
  <cols>
    <col min="1" max="1" width="17" style="7" customWidth="1"/>
    <col min="2" max="2" width="9.5703125" style="3" customWidth="1"/>
    <col min="3" max="3" width="10" style="3" customWidth="1"/>
    <col min="4" max="4" width="8.85546875" style="3" customWidth="1"/>
    <col min="5" max="5" width="7.85546875" style="3" customWidth="1"/>
    <col min="6" max="6" width="7.140625" style="3" customWidth="1"/>
    <col min="7" max="7" width="5.140625" style="3" customWidth="1"/>
    <col min="8" max="8" width="10.28515625" style="3" customWidth="1"/>
    <col min="9" max="9" width="8.5703125" style="3" customWidth="1"/>
    <col min="10" max="10" width="0.85546875" style="3" customWidth="1"/>
    <col min="11" max="16384" width="10.7109375" style="3"/>
  </cols>
  <sheetData>
    <row r="1" spans="1:19" s="2" customFormat="1" ht="18" customHeight="1">
      <c r="A1" s="191"/>
      <c r="B1" s="192"/>
      <c r="C1" s="46" t="s">
        <v>93</v>
      </c>
      <c r="D1"/>
      <c r="E1" s="75" t="s">
        <v>0</v>
      </c>
      <c r="F1" s="189">
        <v>39454</v>
      </c>
      <c r="G1" s="190"/>
      <c r="H1" s="1" t="s">
        <v>1</v>
      </c>
      <c r="I1" s="76">
        <v>17</v>
      </c>
      <c r="J1" s="98"/>
    </row>
    <row r="2" spans="1:19" ht="14.25" customHeight="1">
      <c r="A2" s="144" t="s">
        <v>92</v>
      </c>
      <c r="G2" s="145"/>
      <c r="H2" s="145" t="s">
        <v>2</v>
      </c>
      <c r="K2"/>
      <c r="L2"/>
      <c r="M2"/>
      <c r="N2"/>
      <c r="O2"/>
      <c r="P2"/>
      <c r="Q2"/>
      <c r="R2"/>
      <c r="S2"/>
    </row>
    <row r="3" spans="1:19" customFormat="1" ht="1.5" customHeight="1"/>
    <row r="4" spans="1:19" ht="13.5" customHeight="1">
      <c r="A4" s="90" t="s">
        <v>3</v>
      </c>
      <c r="B4" s="103">
        <v>32</v>
      </c>
      <c r="C4" s="89" t="s">
        <v>4</v>
      </c>
      <c r="D4" s="104">
        <v>75</v>
      </c>
      <c r="E4" s="88"/>
      <c r="F4" s="89" t="s">
        <v>83</v>
      </c>
      <c r="G4" s="146">
        <v>2</v>
      </c>
      <c r="H4" s="164" t="s">
        <v>5</v>
      </c>
      <c r="I4" s="148">
        <v>7</v>
      </c>
      <c r="K4"/>
      <c r="L4"/>
      <c r="M4"/>
      <c r="N4"/>
      <c r="O4"/>
      <c r="P4"/>
      <c r="Q4"/>
      <c r="R4"/>
      <c r="S4"/>
    </row>
    <row r="5" spans="1:19" s="141" customFormat="1" ht="1.5" customHeigh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s="4" customFormat="1" ht="15" customHeight="1">
      <c r="A6" s="142" t="s">
        <v>6</v>
      </c>
      <c r="B6" s="102">
        <v>16</v>
      </c>
      <c r="C6" s="96" t="s">
        <v>7</v>
      </c>
      <c r="D6" s="101" t="s">
        <v>8</v>
      </c>
      <c r="E6"/>
      <c r="F6" s="91" t="s">
        <v>79</v>
      </c>
      <c r="G6" s="100" t="s">
        <v>94</v>
      </c>
      <c r="H6" s="94" t="s">
        <v>10</v>
      </c>
      <c r="I6" s="105">
        <v>0.75</v>
      </c>
      <c r="K6"/>
      <c r="L6"/>
      <c r="M6"/>
      <c r="N6"/>
      <c r="O6"/>
      <c r="P6"/>
      <c r="Q6"/>
      <c r="R6"/>
      <c r="S6"/>
    </row>
    <row r="7" spans="1:19" customFormat="1" ht="1.5" customHeight="1"/>
    <row r="8" spans="1:19" customFormat="1" ht="14.25" customHeight="1">
      <c r="B8" s="107"/>
      <c r="C8" s="142" t="s">
        <v>80</v>
      </c>
      <c r="D8" s="101" t="s">
        <v>9</v>
      </c>
      <c r="E8" s="151">
        <f>SUM(D10:D20)</f>
        <v>10</v>
      </c>
      <c r="F8" s="151">
        <f>IF(dikte="n",4.1,IF(dikte="d",2.75,IF(dikte="m",3.4)))</f>
        <v>3.4</v>
      </c>
      <c r="G8" s="151">
        <f>((infuus*2.3)+(88-(3.58*beslag)))/100</f>
        <v>0.80427999999999999</v>
      </c>
      <c r="H8" s="152">
        <f>SUM(F10:F20)</f>
        <v>9.3287127906976757</v>
      </c>
      <c r="I8" s="153"/>
    </row>
    <row r="9" spans="1:19" s="6" customFormat="1" ht="12" customHeight="1">
      <c r="A9" s="5" t="s">
        <v>11</v>
      </c>
      <c r="B9" s="170" t="s">
        <v>12</v>
      </c>
      <c r="C9" s="170" t="s">
        <v>13</v>
      </c>
      <c r="D9" s="6" t="s">
        <v>14</v>
      </c>
      <c r="E9" s="162" t="s">
        <v>15</v>
      </c>
      <c r="F9" s="162" t="s">
        <v>16</v>
      </c>
      <c r="G9" s="149">
        <f>IF(land=0,1,IF(land="f",1,0.56))</f>
        <v>1</v>
      </c>
      <c r="H9" s="149">
        <f>IF(zuur="m",1/concentratie*1,IF(zuur="P",1/concentratie*0.3,IF(zuur="S",1/concentratie*0.15,IF(zuur=0,1/concentratie*1,IF(zuur="C",1/concentratie*0.33)))))</f>
        <v>0.39999999999999997</v>
      </c>
      <c r="I9" s="150"/>
      <c r="K9"/>
      <c r="L9"/>
      <c r="M9"/>
      <c r="N9"/>
      <c r="O9"/>
      <c r="P9"/>
      <c r="Q9"/>
      <c r="R9"/>
      <c r="S9"/>
    </row>
    <row r="10" spans="1:19" ht="12" customHeight="1">
      <c r="A10" s="108" t="s">
        <v>17</v>
      </c>
      <c r="B10" s="109">
        <v>81</v>
      </c>
      <c r="C10" s="109">
        <v>3.5</v>
      </c>
      <c r="D10" s="132">
        <v>8</v>
      </c>
      <c r="E10" s="110">
        <f>IF(liters=0,"0",IF(D10=0,"  ",(B10*D10/liters)*effic*3.722))</f>
        <v>60.618985739999999</v>
      </c>
      <c r="F10" s="110">
        <f>IF(liters=0,"0",IF(D10=0,"  ",(B10*D10/liters)*effic*C10/8.6))</f>
        <v>6.628295930232559</v>
      </c>
      <c r="G10" s="95"/>
      <c r="H10" s="154" t="s">
        <v>84</v>
      </c>
      <c r="I10" s="165">
        <f>IF(moutkilos=0,0,((moutkilos*beslag*4)+(liters/3))/4.2)</f>
        <v>34.920634920634917</v>
      </c>
      <c r="J10"/>
      <c r="K10"/>
      <c r="L10"/>
      <c r="M10"/>
      <c r="N10"/>
      <c r="O10"/>
      <c r="P10"/>
      <c r="Q10"/>
      <c r="R10"/>
      <c r="S10"/>
    </row>
    <row r="11" spans="1:19" ht="12" customHeight="1">
      <c r="A11" s="7" t="s">
        <v>18</v>
      </c>
      <c r="B11" s="8">
        <v>81</v>
      </c>
      <c r="C11" s="8">
        <v>9</v>
      </c>
      <c r="D11" s="133"/>
      <c r="E11" s="9" t="str">
        <f t="shared" ref="E11:E20" si="0">IF(liters=0,"0",IF(D11=0,"  ",(B11*D11/liters)*effic*3.722))</f>
        <v xml:space="preserve">  </v>
      </c>
      <c r="F11" s="127" t="str">
        <f t="shared" ref="F11:F20" si="1">IF(liters=0,"0",IF(D11=0,"  ",(B11*D11/liters)*effic*C11/8.6))</f>
        <v xml:space="preserve">  </v>
      </c>
      <c r="G11"/>
      <c r="H11" s="154" t="s">
        <v>88</v>
      </c>
      <c r="I11" s="160">
        <f>hardheid*zuurfactor/275*(MAX(5.7,ph)-5.7)*maisch*1.5/landfactor/(1+(mtkleursom/16))</f>
        <v>1.0010848433443837</v>
      </c>
      <c r="K11"/>
      <c r="L11"/>
      <c r="M11"/>
      <c r="N11"/>
      <c r="O11"/>
      <c r="P11"/>
      <c r="Q11"/>
      <c r="R11"/>
      <c r="S11"/>
    </row>
    <row r="12" spans="1:19" ht="12" customHeight="1" thickBot="1">
      <c r="A12" s="108" t="s">
        <v>19</v>
      </c>
      <c r="B12" s="109">
        <v>80.7</v>
      </c>
      <c r="C12" s="109">
        <v>15</v>
      </c>
      <c r="D12" s="132"/>
      <c r="E12" s="110" t="str">
        <f t="shared" si="0"/>
        <v xml:space="preserve">  </v>
      </c>
      <c r="F12" s="110" t="str">
        <f t="shared" si="1"/>
        <v xml:space="preserve">  </v>
      </c>
      <c r="G12"/>
      <c r="H12" s="155" t="s">
        <v>87</v>
      </c>
      <c r="I12" s="161">
        <f>SUM(D10:D20)*zuurfactor/275*(MAX(5.7,ph)-5.7)*maisch*(SUM(E10:E20)/300+1)/2/landfactor/(1+(mtkleursom/14))</f>
        <v>0.24768483378285211</v>
      </c>
      <c r="K12"/>
      <c r="L12"/>
      <c r="M12"/>
      <c r="N12"/>
      <c r="O12"/>
      <c r="P12"/>
      <c r="Q12"/>
      <c r="R12"/>
      <c r="S12"/>
    </row>
    <row r="13" spans="1:19" ht="12" customHeight="1">
      <c r="A13" s="7" t="s">
        <v>20</v>
      </c>
      <c r="B13" s="8">
        <v>77</v>
      </c>
      <c r="C13" s="8">
        <v>120</v>
      </c>
      <c r="D13" s="133"/>
      <c r="E13" s="9" t="str">
        <f t="shared" si="0"/>
        <v xml:space="preserve">  </v>
      </c>
      <c r="F13" s="128" t="str">
        <f t="shared" si="1"/>
        <v xml:space="preserve">  </v>
      </c>
      <c r="G13" s="156"/>
      <c r="H13" s="157" t="s">
        <v>21</v>
      </c>
      <c r="I13" s="165">
        <f>IF(moutkilos=0,0,((liters*2)-maisch)/2+(maisch/3.5))</f>
        <v>24.517006802721092</v>
      </c>
      <c r="K13"/>
      <c r="L13"/>
      <c r="M13"/>
      <c r="N13"/>
      <c r="O13"/>
      <c r="P13"/>
      <c r="Q13"/>
      <c r="R13"/>
      <c r="S13"/>
    </row>
    <row r="14" spans="1:19" ht="12" customHeight="1">
      <c r="A14" s="108" t="s">
        <v>22</v>
      </c>
      <c r="B14" s="109">
        <v>74</v>
      </c>
      <c r="C14" s="109">
        <v>800</v>
      </c>
      <c r="D14" s="132"/>
      <c r="E14" s="110" t="str">
        <f t="shared" si="0"/>
        <v xml:space="preserve">  </v>
      </c>
      <c r="F14" s="110" t="str">
        <f t="shared" si="1"/>
        <v xml:space="preserve">  </v>
      </c>
      <c r="G14" s="158"/>
      <c r="H14" s="155" t="s">
        <v>86</v>
      </c>
      <c r="I14" s="160">
        <f>hardheid*zuurfactor/275*(MAX(5.6,ph)-5.6)*spoel*2.5</f>
        <v>1.9970216450216458</v>
      </c>
      <c r="K14"/>
      <c r="L14"/>
      <c r="M14"/>
      <c r="N14"/>
      <c r="O14"/>
      <c r="P14"/>
      <c r="Q14"/>
      <c r="R14"/>
      <c r="S14"/>
    </row>
    <row r="15" spans="1:19" ht="12" customHeight="1">
      <c r="A15" s="7" t="s">
        <v>23</v>
      </c>
      <c r="B15" s="8">
        <v>79</v>
      </c>
      <c r="C15" s="8">
        <v>6</v>
      </c>
      <c r="D15" s="133"/>
      <c r="E15" s="9" t="str">
        <f t="shared" si="0"/>
        <v xml:space="preserve">  </v>
      </c>
      <c r="F15" s="128" t="str">
        <f t="shared" si="1"/>
        <v xml:space="preserve">  </v>
      </c>
      <c r="G15" s="159" t="s">
        <v>85</v>
      </c>
      <c r="H15" s="172"/>
      <c r="I15" s="97" t="s">
        <v>24</v>
      </c>
      <c r="K15"/>
      <c r="L15"/>
      <c r="M15"/>
      <c r="N15"/>
      <c r="O15"/>
      <c r="P15"/>
      <c r="Q15"/>
      <c r="R15"/>
      <c r="S15"/>
    </row>
    <row r="16" spans="1:19" ht="12" customHeight="1">
      <c r="A16" s="108" t="s">
        <v>25</v>
      </c>
      <c r="B16" s="109">
        <v>77</v>
      </c>
      <c r="C16" s="109">
        <v>6</v>
      </c>
      <c r="D16" s="132">
        <v>2</v>
      </c>
      <c r="E16" s="110">
        <f t="shared" si="0"/>
        <v>14.406363895</v>
      </c>
      <c r="F16" s="110">
        <f t="shared" si="1"/>
        <v>2.7004168604651162</v>
      </c>
      <c r="G16" s="10"/>
      <c r="H16" s="52">
        <f>totaalSG</f>
        <v>1077.1654996350001</v>
      </c>
      <c r="I16" s="77">
        <f>IF(bekomenSG&lt;1010,"----",((bekomenSG-1000)/4.495)+(SQRT(bekomenSG-1000)/6.15))</f>
        <v>18.595319234522393</v>
      </c>
      <c r="K16"/>
      <c r="L16"/>
      <c r="M16"/>
      <c r="N16"/>
      <c r="O16"/>
      <c r="P16"/>
      <c r="Q16"/>
      <c r="R16"/>
      <c r="S16"/>
    </row>
    <row r="17" spans="1:19" ht="12" customHeight="1">
      <c r="A17" s="7" t="s">
        <v>89</v>
      </c>
      <c r="B17" s="8">
        <v>81</v>
      </c>
      <c r="C17" s="8">
        <v>3</v>
      </c>
      <c r="D17" s="133"/>
      <c r="E17" s="9" t="str">
        <f t="shared" si="0"/>
        <v xml:space="preserve">  </v>
      </c>
      <c r="F17" s="128" t="str">
        <f t="shared" si="1"/>
        <v xml:space="preserve">  </v>
      </c>
      <c r="G17" s="92" t="s">
        <v>26</v>
      </c>
      <c r="H17" s="173"/>
      <c r="I17" s="97" t="s">
        <v>24</v>
      </c>
      <c r="K17"/>
      <c r="L17"/>
      <c r="M17"/>
      <c r="N17"/>
      <c r="O17"/>
      <c r="P17"/>
      <c r="Q17"/>
      <c r="R17"/>
      <c r="S17"/>
    </row>
    <row r="18" spans="1:19" ht="12" customHeight="1">
      <c r="A18" s="108" t="s">
        <v>90</v>
      </c>
      <c r="B18" s="109">
        <v>77</v>
      </c>
      <c r="C18" s="109">
        <v>2</v>
      </c>
      <c r="D18" s="132"/>
      <c r="E18" s="110" t="str">
        <f t="shared" si="0"/>
        <v xml:space="preserve">  </v>
      </c>
      <c r="F18" s="110" t="str">
        <f t="shared" si="1"/>
        <v xml:space="preserve">  </v>
      </c>
      <c r="G18" s="4"/>
      <c r="H18" s="52">
        <v>1010</v>
      </c>
      <c r="I18" s="77">
        <f>IF(eindSG&lt;1005,"----",((eindSG-1000)/4.495)+(SQRT(eindSG-1000)/6.15))</f>
        <v>2.7388855940188961</v>
      </c>
      <c r="K18"/>
      <c r="L18"/>
      <c r="M18"/>
      <c r="N18"/>
      <c r="O18"/>
      <c r="P18"/>
      <c r="Q18"/>
      <c r="R18"/>
      <c r="S18"/>
    </row>
    <row r="19" spans="1:19" ht="12" customHeight="1">
      <c r="A19" s="12" t="s">
        <v>27</v>
      </c>
      <c r="B19" s="13">
        <v>85</v>
      </c>
      <c r="C19" s="13">
        <v>0.2</v>
      </c>
      <c r="D19" s="133"/>
      <c r="E19" s="9" t="str">
        <f t="shared" si="0"/>
        <v xml:space="preserve">  </v>
      </c>
      <c r="F19" s="128" t="str">
        <f t="shared" si="1"/>
        <v xml:space="preserve">  </v>
      </c>
      <c r="G19" s="93" t="s">
        <v>28</v>
      </c>
      <c r="H19" s="174"/>
      <c r="I19" s="11"/>
      <c r="K19"/>
      <c r="L19"/>
      <c r="M19"/>
      <c r="N19"/>
      <c r="O19"/>
      <c r="P19"/>
      <c r="Q19"/>
      <c r="R19"/>
      <c r="S19"/>
    </row>
    <row r="20" spans="1:19" ht="12" customHeight="1">
      <c r="A20" s="111" t="s">
        <v>29</v>
      </c>
      <c r="B20" s="112"/>
      <c r="C20" s="112"/>
      <c r="D20" s="132"/>
      <c r="E20" s="110" t="str">
        <f t="shared" si="0"/>
        <v xml:space="preserve">  </v>
      </c>
      <c r="F20" s="110" t="str">
        <f t="shared" si="1"/>
        <v xml:space="preserve">  </v>
      </c>
      <c r="G20" s="15"/>
      <c r="H20" s="53">
        <v>6</v>
      </c>
      <c r="I20" s="11"/>
      <c r="K20"/>
      <c r="L20"/>
      <c r="M20"/>
      <c r="N20"/>
      <c r="O20"/>
      <c r="P20"/>
      <c r="Q20"/>
      <c r="R20"/>
      <c r="S20"/>
    </row>
    <row r="21" spans="1:19" ht="12" customHeight="1">
      <c r="A21" s="167" t="s">
        <v>30</v>
      </c>
      <c r="B21" s="136">
        <v>100</v>
      </c>
      <c r="C21" s="136">
        <v>0.1</v>
      </c>
      <c r="D21" s="134">
        <v>0</v>
      </c>
      <c r="E21" s="135" t="str">
        <f>IF(liters=0,"0",IF(D21=0,"  ",(B21*D21/liters)*3.722))</f>
        <v xml:space="preserve">  </v>
      </c>
      <c r="F21" s="135" t="str">
        <f>IF(liters=0,"0",IF(D21=0,"  ",(B21*D21/liters)*C21/8.6))</f>
        <v xml:space="preserve">  </v>
      </c>
      <c r="G21" s="93" t="s">
        <v>31</v>
      </c>
      <c r="H21" s="4"/>
      <c r="I21" s="4"/>
      <c r="K21"/>
      <c r="L21"/>
      <c r="M21"/>
      <c r="N21"/>
      <c r="O21"/>
      <c r="P21"/>
      <c r="Q21"/>
      <c r="R21"/>
      <c r="S21"/>
    </row>
    <row r="22" spans="1:19" ht="12" customHeight="1">
      <c r="A22" s="168" t="s">
        <v>32</v>
      </c>
      <c r="B22" s="137">
        <v>92</v>
      </c>
      <c r="C22" s="137">
        <v>110</v>
      </c>
      <c r="D22" s="134">
        <v>0.2</v>
      </c>
      <c r="E22" s="139">
        <f>IF(liters=0,"0",IF(D22=0,"  ",(B22*D22/liters)*3.722))</f>
        <v>2.1401500000000002</v>
      </c>
      <c r="F22" s="139">
        <f>IF(liters=0,"0",IF(D22=0,"  ",(B22*D22/liters)*C22/8.6))</f>
        <v>7.3546511627906987</v>
      </c>
      <c r="G22" s="4"/>
      <c r="H22" s="54">
        <f>liters</f>
        <v>32</v>
      </c>
      <c r="I22" s="4"/>
      <c r="K22"/>
      <c r="L22"/>
      <c r="M22"/>
      <c r="N22"/>
      <c r="O22"/>
      <c r="P22"/>
      <c r="Q22"/>
      <c r="R22"/>
      <c r="S22"/>
    </row>
    <row r="23" spans="1:19" ht="12" customHeight="1" thickBot="1">
      <c r="A23" s="169" t="s">
        <v>33</v>
      </c>
      <c r="B23" s="138"/>
      <c r="C23" s="138"/>
      <c r="D23" s="134"/>
      <c r="E23" s="140" t="str">
        <f>IF(liters=0,"0",IF(D23=0,"  ",(B23*D23/liters)*3.722))</f>
        <v xml:space="preserve">  </v>
      </c>
      <c r="F23" s="140" t="str">
        <f>IF(liters=0,"0",IF(D23=0,"  ",(B23*D23/liters)*C23/8.6))</f>
        <v xml:space="preserve">  </v>
      </c>
      <c r="G23" s="93" t="s">
        <v>34</v>
      </c>
      <c r="H23" s="4"/>
      <c r="I23" s="17"/>
      <c r="K23"/>
      <c r="L23"/>
      <c r="M23"/>
      <c r="N23"/>
      <c r="O23"/>
      <c r="P23"/>
      <c r="Q23"/>
      <c r="R23"/>
      <c r="S23"/>
    </row>
    <row r="24" spans="1:19" s="18" customFormat="1" ht="12" customHeight="1" thickBot="1">
      <c r="A24" s="7"/>
      <c r="C24" s="6" t="s">
        <v>35</v>
      </c>
      <c r="D24" s="6" t="s">
        <v>36</v>
      </c>
      <c r="E24" s="163" t="s">
        <v>37</v>
      </c>
      <c r="F24" s="171" t="s">
        <v>82</v>
      </c>
      <c r="G24" s="20"/>
      <c r="H24" s="48">
        <f>IF(totaalSG&lt;1015,"----",IF(bekomenSG&lt;1000,(totaalSG-1014)*135.666/100000,IF(eindSG&lt;990,(bekomenSG-1014)*135.666/100000,(bekomenSG-eindSG)*135.666/100000)))</f>
        <v>9.112074673481918E-2</v>
      </c>
      <c r="I24" s="11"/>
    </row>
    <row r="25" spans="1:19" ht="12" customHeight="1" thickBot="1">
      <c r="C25" s="21"/>
      <c r="D25" s="57">
        <f>SUM(D10:D23)</f>
        <v>10.199999999999999</v>
      </c>
      <c r="E25" s="106">
        <f>SUM(E10:E23)+1000</f>
        <v>1077.1654996350001</v>
      </c>
      <c r="F25" s="56">
        <f>IF(totaalSG&lt;1000.3,"0",SUM(F10:F23)+(kooktyd*0.02))</f>
        <v>18.183363953488374</v>
      </c>
      <c r="G25" s="93"/>
      <c r="H25" s="143" t="s">
        <v>38</v>
      </c>
      <c r="I25" s="17"/>
    </row>
    <row r="26" spans="1:19" ht="12" customHeight="1" thickBot="1">
      <c r="C26" s="21"/>
      <c r="D26" s="73" t="s">
        <v>39</v>
      </c>
      <c r="E26" s="74">
        <f>IF(totaalSG&lt;1001,"------",((totaalSG-1000)/4.495)+(SQRT(totaalSG-1000)/6.15))</f>
        <v>18.595319234522393</v>
      </c>
      <c r="F26"/>
      <c r="G26" s="14"/>
      <c r="H26" s="49">
        <f>IF(totaalSG&lt;1015,"----",(IF(suiker&lt;1,((lageralco*100)+(8/17.33))/100,((lageralco*100)+(suiker/17.33))/100)))</f>
        <v>9.4582951004871102E-2</v>
      </c>
      <c r="I26" s="17"/>
    </row>
    <row r="27" spans="1:19" s="21" customFormat="1" ht="13.5" customHeight="1" thickBot="1">
      <c r="A27" s="22" t="s">
        <v>40</v>
      </c>
      <c r="F27" s="23"/>
      <c r="H27" s="23" t="s">
        <v>41</v>
      </c>
    </row>
    <row r="28" spans="1:19" s="8" customFormat="1" ht="12" customHeight="1" thickBot="1">
      <c r="A28" s="24" t="s">
        <v>42</v>
      </c>
      <c r="B28" s="113" t="s">
        <v>96</v>
      </c>
      <c r="C28" s="113" t="s">
        <v>95</v>
      </c>
      <c r="D28" s="113"/>
      <c r="E28" s="113"/>
      <c r="F28" s="113"/>
      <c r="G28" s="25"/>
      <c r="H28" s="49">
        <f>IF((eindSG&lt;990),"------",(bekomenplato-eindplato)/bekomenplato)</f>
        <v>0.85271102047368308</v>
      </c>
    </row>
    <row r="29" spans="1:19" s="8" customFormat="1" ht="12" customHeight="1" thickBot="1">
      <c r="A29" s="24" t="s">
        <v>43</v>
      </c>
      <c r="B29" s="58"/>
      <c r="C29" s="58"/>
      <c r="D29" s="58"/>
      <c r="E29" s="58"/>
      <c r="F29" s="58"/>
      <c r="G29" s="25"/>
      <c r="H29" s="23" t="s">
        <v>44</v>
      </c>
    </row>
    <row r="30" spans="1:19" s="8" customFormat="1" ht="12" customHeight="1" thickBot="1">
      <c r="A30" s="24" t="s">
        <v>45</v>
      </c>
      <c r="B30" s="114">
        <v>50</v>
      </c>
      <c r="C30" s="114">
        <v>50</v>
      </c>
      <c r="D30" s="114"/>
      <c r="E30" s="114"/>
      <c r="F30" s="114"/>
      <c r="G30" s="13"/>
      <c r="H30" s="59">
        <f>IF(totaalSG&lt;0.1,"------",IF(bekomenliters&lt;1,"------",IF(bekomenSG&lt;1015,"-----",(((totaalSG-1000)/4.495)+(SQRT(totaalSG-1000)/6.15))*bekomenSG*bekomenliters/kilos/100000)))</f>
        <v>0.62839957126671808</v>
      </c>
    </row>
    <row r="31" spans="1:19" s="8" customFormat="1" ht="12" customHeight="1" thickBot="1">
      <c r="A31" s="24" t="s">
        <v>46</v>
      </c>
      <c r="B31" s="55">
        <v>8</v>
      </c>
      <c r="C31" s="55">
        <v>5.7</v>
      </c>
      <c r="D31" s="55"/>
      <c r="E31" s="55"/>
      <c r="F31" s="55"/>
      <c r="G31" s="78"/>
      <c r="H31" s="175" t="s">
        <v>47</v>
      </c>
    </row>
    <row r="32" spans="1:19" s="28" customFormat="1" ht="12" customHeight="1" thickBot="1">
      <c r="A32" s="26" t="s">
        <v>48</v>
      </c>
      <c r="B32" s="115">
        <v>15</v>
      </c>
      <c r="C32" s="115">
        <v>60</v>
      </c>
      <c r="D32" s="115"/>
      <c r="E32" s="115"/>
      <c r="F32" s="115"/>
      <c r="G32" s="80"/>
      <c r="H32" s="81">
        <f>IF(eindSG&lt;1001,"------",IF(eindSG&lt;1013,botalco*100*0.7893*113.04,botalco*100*0.7893*113.04)+((eindplato-3.16)*10*4))</f>
        <v>827.04789353170418</v>
      </c>
      <c r="I32" s="82" t="str">
        <f>IF(eindSG&lt;1001,"","per liter")</f>
        <v>per liter</v>
      </c>
    </row>
    <row r="33" spans="1:10" s="29" customFormat="1" ht="14.25" customHeight="1">
      <c r="A33" s="24" t="s">
        <v>49</v>
      </c>
      <c r="B33" s="62">
        <f>IF(B30=0,"  ",IF(B32&gt;kooktyd,"hop te laat!",TANH(PI()*(kooktyd-B32)/120)*0.398*0.000125^((SUM($E10:$E20))/1000)*B30*B31*10/liters*(1+COUNTA(B29)/10)))</f>
        <v>23.248978215070608</v>
      </c>
      <c r="C33" s="62">
        <f>IF(C30=0,"  ",IF(C32&gt;kooktyd,"hop te laat!",TANH(PI()*(kooktyd-C32)/120)*0.398*0.000125^((SUM($E10:$E20))/1000)*C30*C31*10/liters*(1+COUNTA(C29)/10)))</f>
        <v>6.7492052416993786</v>
      </c>
      <c r="D33" s="62" t="str">
        <f>IF(D30=0,"  ",IF(D32&gt;kooktyd,"hop te laat!",TANH(PI()*(kooktyd-D32)/120)*0.398*0.000125^((SUM($E10:$E20))/1000)*D30*D31*10/liters*(1+COUNTA(D29)/10)))</f>
        <v xml:space="preserve">  </v>
      </c>
      <c r="E33" s="62" t="str">
        <f>IF(E30=0,"  ",IF(E32&gt;kooktyd,"hop te laat!",TANH(PI()*(kooktyd-E32)/120)*0.398*0.000125^((SUM($E10:$E20))/1000)*E30*E31*10/liters*(1+COUNTA(E29)/10)))</f>
        <v xml:space="preserve">  </v>
      </c>
      <c r="F33" s="62" t="str">
        <f>IF(F30=0,"  ",IF(F32&gt;kooktyd,"hop te laat!",TANH(PI()*(kooktyd-F32)/120)*0.398*0.000125^((SUM($E10:$E20))/1000)*F30*F31*10/liters*(1+COUNTA(F29)/10)))</f>
        <v xml:space="preserve">  </v>
      </c>
      <c r="G33" s="85" t="s">
        <v>50</v>
      </c>
      <c r="H33" s="83"/>
      <c r="I33"/>
    </row>
    <row r="34" spans="1:10" s="6" customFormat="1" ht="12" customHeight="1">
      <c r="A34" s="22" t="s">
        <v>51</v>
      </c>
      <c r="B34" s="50">
        <f>SUM(B33:F33)</f>
        <v>29.998183456769986</v>
      </c>
      <c r="C34" s="51" t="s">
        <v>52</v>
      </c>
      <c r="D34" s="79"/>
      <c r="E34" s="19"/>
      <c r="F34" s="86" t="s">
        <v>53</v>
      </c>
      <c r="G34" s="166">
        <f>IF(eindSG&lt;1001,"------",energie*0.33/6)</f>
        <v>45.487634144243735</v>
      </c>
      <c r="H34" s="87" t="s">
        <v>54</v>
      </c>
      <c r="I34" s="84"/>
    </row>
    <row r="35" spans="1:10" s="33" customFormat="1" ht="6" customHeight="1">
      <c r="A35" s="30"/>
      <c r="B35" s="31"/>
      <c r="C35" s="3"/>
      <c r="D35" s="32"/>
      <c r="G35" s="147"/>
      <c r="H35" s="3"/>
      <c r="I35" s="3"/>
    </row>
    <row r="36" spans="1:10" ht="12" customHeight="1">
      <c r="A36" s="30" t="s">
        <v>55</v>
      </c>
      <c r="B36" s="16" t="s">
        <v>56</v>
      </c>
      <c r="C36" s="16" t="s">
        <v>57</v>
      </c>
      <c r="D36" s="16" t="s">
        <v>97</v>
      </c>
      <c r="E36" s="16" t="s">
        <v>98</v>
      </c>
      <c r="F36" s="16"/>
      <c r="G36" s="45"/>
      <c r="H36" s="44"/>
      <c r="I36" s="130" t="str">
        <f>IF(SUM(D21:D23)&gt;0,"suikers","- - -")</f>
        <v>suikers</v>
      </c>
    </row>
    <row r="37" spans="1:10" ht="12.75" customHeight="1">
      <c r="A37" s="68" t="s">
        <v>58</v>
      </c>
      <c r="B37" s="16"/>
      <c r="C37" s="16">
        <v>16</v>
      </c>
      <c r="D37" s="16">
        <v>32</v>
      </c>
      <c r="E37" s="16">
        <v>32</v>
      </c>
      <c r="F37" s="16"/>
      <c r="G37" s="45"/>
      <c r="H37" s="44"/>
      <c r="I37" s="131" t="str">
        <f>IF(SUM(D21:D23)&gt;0,"alle","- - -")</f>
        <v>alle</v>
      </c>
    </row>
    <row r="38" spans="1:10" ht="12.75" customHeight="1">
      <c r="A38" s="68" t="s">
        <v>59</v>
      </c>
      <c r="B38" s="35"/>
      <c r="C38" s="35">
        <f>kooktyd-10</f>
        <v>65</v>
      </c>
      <c r="D38" s="35">
        <f>kooktyd-10</f>
        <v>65</v>
      </c>
      <c r="E38" s="35">
        <f>kooktyd-10</f>
        <v>65</v>
      </c>
      <c r="F38" s="35"/>
      <c r="G38" s="60"/>
      <c r="H38" s="61"/>
      <c r="I38" s="129">
        <f>IF(SUM(D21:D23)&gt;0,D4-10,"- - -")</f>
        <v>65</v>
      </c>
    </row>
    <row r="39" spans="1:10" ht="6.75" customHeight="1">
      <c r="A39" s="68"/>
      <c r="B39" s="27"/>
      <c r="C39" s="27"/>
      <c r="D39" s="27"/>
      <c r="E39" s="27"/>
      <c r="F39" s="27"/>
      <c r="G39" s="27"/>
      <c r="H39" s="27"/>
      <c r="I39" s="27"/>
    </row>
    <row r="40" spans="1:10" ht="10.5" customHeight="1">
      <c r="A40" s="64" t="s">
        <v>60</v>
      </c>
      <c r="B40" s="65"/>
      <c r="C40" s="66" t="s">
        <v>61</v>
      </c>
      <c r="D40" s="66" t="s">
        <v>62</v>
      </c>
      <c r="E40" s="66" t="s">
        <v>63</v>
      </c>
      <c r="F40" s="67" t="s">
        <v>64</v>
      </c>
      <c r="G40" s="18"/>
      <c r="H40" s="126"/>
    </row>
    <row r="41" spans="1:10" ht="12" customHeight="1">
      <c r="A41" s="69" t="s">
        <v>65</v>
      </c>
      <c r="B41" s="176"/>
      <c r="C41" s="177"/>
      <c r="D41" s="116"/>
      <c r="E41" s="117"/>
      <c r="F41" s="118" t="s">
        <v>66</v>
      </c>
      <c r="G41" s="119"/>
      <c r="H41" s="119"/>
      <c r="I41" s="120"/>
      <c r="J41" s="40"/>
    </row>
    <row r="42" spans="1:10" ht="12" customHeight="1">
      <c r="A42" s="69" t="s">
        <v>67</v>
      </c>
      <c r="B42" s="178"/>
      <c r="C42" s="184"/>
      <c r="D42" s="181"/>
      <c r="E42" s="47"/>
      <c r="F42" s="36"/>
      <c r="G42" s="39"/>
      <c r="H42" s="39"/>
      <c r="I42" s="41"/>
      <c r="J42" s="40"/>
    </row>
    <row r="43" spans="1:10" ht="12" customHeight="1">
      <c r="A43" s="69" t="s">
        <v>68</v>
      </c>
      <c r="B43" s="178"/>
      <c r="C43" s="177"/>
      <c r="D43" s="182"/>
      <c r="E43" s="117"/>
      <c r="F43" s="121"/>
      <c r="G43" s="119"/>
      <c r="H43" s="119"/>
      <c r="I43" s="120"/>
      <c r="J43" s="40"/>
    </row>
    <row r="44" spans="1:10" ht="12" customHeight="1">
      <c r="A44" s="69" t="s">
        <v>69</v>
      </c>
      <c r="B44" s="178"/>
      <c r="C44" s="184"/>
      <c r="D44" s="181"/>
      <c r="E44" s="47"/>
      <c r="F44" s="36"/>
      <c r="G44" s="39"/>
      <c r="H44" s="39"/>
      <c r="I44" s="41"/>
      <c r="J44" s="40"/>
    </row>
    <row r="45" spans="1:10" ht="12" customHeight="1">
      <c r="A45" s="69" t="s">
        <v>70</v>
      </c>
      <c r="B45" s="179"/>
      <c r="C45" s="177"/>
      <c r="D45" s="183" t="s">
        <v>81</v>
      </c>
      <c r="E45" s="117"/>
      <c r="F45" s="121"/>
      <c r="G45" s="119"/>
      <c r="H45" s="119"/>
      <c r="I45" s="120"/>
      <c r="J45" s="40"/>
    </row>
    <row r="46" spans="1:10" ht="12" customHeight="1">
      <c r="A46" s="69" t="s">
        <v>71</v>
      </c>
      <c r="B46" s="179"/>
      <c r="C46" s="185"/>
      <c r="D46" s="37" t="s">
        <v>72</v>
      </c>
      <c r="E46" s="43" t="s">
        <v>99</v>
      </c>
      <c r="F46" s="36"/>
      <c r="G46" s="39"/>
      <c r="H46" s="39"/>
      <c r="I46" s="41"/>
      <c r="J46" s="40"/>
    </row>
    <row r="47" spans="1:10" ht="12" customHeight="1">
      <c r="A47" s="70" t="s">
        <v>73</v>
      </c>
      <c r="B47" s="180"/>
      <c r="C47" s="186"/>
      <c r="D47" s="122" t="s">
        <v>91</v>
      </c>
      <c r="E47" s="123" t="s">
        <v>101</v>
      </c>
      <c r="F47" s="119"/>
      <c r="G47" s="119"/>
      <c r="H47" s="119"/>
      <c r="I47" s="120"/>
      <c r="J47" s="40"/>
    </row>
    <row r="48" spans="1:10" ht="12" customHeight="1">
      <c r="A48" s="71" t="s">
        <v>74</v>
      </c>
      <c r="B48" s="180"/>
      <c r="C48" s="187"/>
      <c r="D48" s="37" t="s">
        <v>75</v>
      </c>
      <c r="E48" s="99" t="s">
        <v>100</v>
      </c>
      <c r="F48" s="39"/>
      <c r="G48" s="39"/>
      <c r="H48" s="39"/>
      <c r="I48" s="41"/>
      <c r="J48" s="40"/>
    </row>
    <row r="49" spans="1:11" s="4" customFormat="1" ht="12" customHeight="1">
      <c r="A49" s="72" t="s">
        <v>76</v>
      </c>
      <c r="B49" s="180"/>
      <c r="C49" s="188"/>
      <c r="D49" s="122" t="s">
        <v>77</v>
      </c>
      <c r="E49" s="124"/>
      <c r="F49" s="125" t="s">
        <v>78</v>
      </c>
      <c r="G49" s="119"/>
      <c r="H49" s="119"/>
      <c r="I49" s="120"/>
      <c r="J49" s="42"/>
    </row>
    <row r="50" spans="1:11" customFormat="1" ht="12" customHeight="1"/>
    <row r="51" spans="1:11" customFormat="1" ht="12" customHeight="1"/>
    <row r="52" spans="1:11" customFormat="1" ht="12" customHeight="1"/>
    <row r="53" spans="1:11" customFormat="1" ht="12" customHeight="1"/>
    <row r="54" spans="1:11" customFormat="1" ht="12" customHeight="1"/>
    <row r="55" spans="1:11" customFormat="1" ht="12" customHeight="1"/>
    <row r="56" spans="1:11" customFormat="1" ht="12" customHeight="1"/>
    <row r="57" spans="1:11" customFormat="1" ht="12" customHeight="1"/>
    <row r="58" spans="1:11" customFormat="1" ht="12" customHeight="1"/>
    <row r="59" spans="1:11" customFormat="1" ht="12" customHeight="1"/>
    <row r="60" spans="1:11" customFormat="1" ht="12" customHeight="1"/>
    <row r="61" spans="1:11" customFormat="1" ht="12" customHeight="1"/>
    <row r="62" spans="1:11" customFormat="1" ht="12" customHeight="1"/>
    <row r="63" spans="1:11" ht="12" customHeight="1">
      <c r="A63"/>
      <c r="B63"/>
      <c r="C63"/>
      <c r="D63"/>
      <c r="E63"/>
      <c r="F63"/>
      <c r="G63"/>
      <c r="H63"/>
      <c r="I63"/>
      <c r="J63"/>
      <c r="K63"/>
    </row>
    <row r="64" spans="1:11" ht="12" customHeight="1">
      <c r="A64"/>
      <c r="B64"/>
      <c r="C64"/>
      <c r="D64"/>
      <c r="E64"/>
      <c r="F64"/>
      <c r="G64"/>
      <c r="H64"/>
      <c r="I64"/>
      <c r="J64"/>
      <c r="K64"/>
    </row>
    <row r="65" spans="1:11" ht="12" customHeight="1">
      <c r="A65"/>
      <c r="B65"/>
      <c r="C65"/>
      <c r="D65"/>
      <c r="E65"/>
      <c r="F65"/>
      <c r="G65"/>
      <c r="H65"/>
      <c r="I65"/>
      <c r="J65"/>
      <c r="K65"/>
    </row>
    <row r="66" spans="1:11" ht="12" customHeight="1">
      <c r="A66"/>
      <c r="B66"/>
      <c r="C66"/>
      <c r="D66"/>
      <c r="E66"/>
      <c r="F66"/>
      <c r="G66"/>
      <c r="H66"/>
      <c r="I66"/>
      <c r="J66"/>
      <c r="K66"/>
    </row>
    <row r="67" spans="1:11" ht="12" customHeight="1">
      <c r="A67" s="63"/>
      <c r="E67" s="38"/>
      <c r="F67" s="38"/>
      <c r="G67" s="38"/>
      <c r="H67" s="38"/>
      <c r="I67" s="37"/>
    </row>
    <row r="68" spans="1:11" ht="12" customHeight="1">
      <c r="A68"/>
      <c r="B68"/>
      <c r="E68" s="38"/>
      <c r="F68" s="38"/>
      <c r="G68" s="38"/>
      <c r="H68" s="38"/>
      <c r="I68" s="38"/>
    </row>
    <row r="69" spans="1:11" ht="12" customHeight="1">
      <c r="A69" s="34"/>
      <c r="E69" s="38"/>
      <c r="F69" s="38"/>
      <c r="G69" s="38"/>
      <c r="H69" s="38"/>
      <c r="I69" s="38"/>
    </row>
  </sheetData>
  <sheetProtection password="8947" sheet="1" objects="1" scenarios="1"/>
  <dataConsolidate/>
  <mergeCells count="2">
    <mergeCell ref="F1:G1"/>
    <mergeCell ref="A1:B1"/>
  </mergeCells>
  <dataValidations xWindow="469" yWindow="153" count="9">
    <dataValidation type="whole" errorStyle="warning" operator="greaterThan" showInputMessage="1" showErrorMessage="1" errorTitle="KOOKTIJD !" error="Uw gekozen kooktijd is minder dan 1 uur !" sqref="D4">
      <formula1>59</formula1>
    </dataValidation>
    <dataValidation type="whole" showInputMessage="1" showErrorMessage="1" errorTitle="INFUSIE" error="1, 2 of 3 invoeren" prompt="Kies:_x000a_1 voor 1step en/of dalende infusie,_x000a_2 voor 2 traps,_x000a_3 voor 3 traps of meer" sqref="G4">
      <formula1>1</formula1>
      <formula2>3</formula2>
    </dataValidation>
    <dataValidation type="decimal" errorStyle="warning" allowBlank="1" showInputMessage="1" showErrorMessage="1" errorTitle="pH" error="het ingevoerde getal is niet zeer logisch," sqref="I4">
      <formula1>3</formula1>
      <formula2>12</formula2>
    </dataValidation>
    <dataValidation type="decimal" allowBlank="1" showInputMessage="1" showErrorMessage="1" errorTitle="CONCENTRATIE" error="Getal tussen 1 en 100 aub" sqref="I6">
      <formula1>0.01</formula1>
      <formula2>1</formula2>
    </dataValidation>
    <dataValidation type="decimal" errorStyle="warning" operator="lessThan" showInputMessage="1" showErrorMessage="1" errorTitle="CARBONAATHARDHEID" error="het ingegeven getal is zeer hoog!" sqref="B6">
      <formula1>44</formula1>
    </dataValidation>
    <dataValidation type="list" showInputMessage="1" showErrorMessage="1" errorTitle="soort hardheidsgraden" error="een d of een f a.u.b." promptTitle="SOORT GRADEN" prompt="d = Duitse°_x000a_f = Franse°_x000a_indien onbekend:_x000a_een f invullen." sqref="D6">
      <formula1>"f,d"</formula1>
    </dataValidation>
    <dataValidation type="list" allowBlank="1" showInputMessage="1" showErrorMessage="1" promptTitle="SOORT ZUUR" prompt="m voor melkzuur_x000a_p voor fosforzuur_x000a_s voor zwavelzuur_x000a_c voor zoutzuur" sqref="G6">
      <formula1>"m,p,s,c"</formula1>
    </dataValidation>
    <dataValidation type="list" showInputMessage="1" showErrorMessage="1" promptTitle="Dikte van het Beslag" prompt="m voor medium_x000a_d voor dik_x000a_n voor dun" sqref="D8">
      <formula1>"n,d,m"</formula1>
    </dataValidation>
    <dataValidation allowBlank="1" showInputMessage="1" showErrorMessage="1" prompt="vul in" sqref="B20:C20 B23:C23"/>
  </dataValidations>
  <pageMargins left="0.78740157480314965" right="0.47244094488188981" top="0.51181102362204722" bottom="0.70866141732283472" header="0.51181102362204722" footer="0.6692913385826772"/>
  <pageSetup paperSize="9" orientation="portrait" horizontalDpi="300" verticalDpi="0" copies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30</vt:i4>
      </vt:variant>
    </vt:vector>
  </HeadingPairs>
  <TitlesOfParts>
    <vt:vector size="31" baseType="lpstr">
      <vt:lpstr>testxls1</vt:lpstr>
      <vt:lpstr>bekomenliters</vt:lpstr>
      <vt:lpstr>bekomenplato</vt:lpstr>
      <vt:lpstr>bekomenSG</vt:lpstr>
      <vt:lpstr>beslag</vt:lpstr>
      <vt:lpstr>botalco</vt:lpstr>
      <vt:lpstr>concentratie</vt:lpstr>
      <vt:lpstr>dikte</vt:lpstr>
      <vt:lpstr>effic</vt:lpstr>
      <vt:lpstr>eindplato</vt:lpstr>
      <vt:lpstr>eindSG</vt:lpstr>
      <vt:lpstr>energie</vt:lpstr>
      <vt:lpstr>hardheid</vt:lpstr>
      <vt:lpstr>infuus</vt:lpstr>
      <vt:lpstr>instal</vt:lpstr>
      <vt:lpstr>kilos</vt:lpstr>
      <vt:lpstr>kooktyd</vt:lpstr>
      <vt:lpstr>lageralco</vt:lpstr>
      <vt:lpstr>land</vt:lpstr>
      <vt:lpstr>landfactor</vt:lpstr>
      <vt:lpstr>liters</vt:lpstr>
      <vt:lpstr>maisch</vt:lpstr>
      <vt:lpstr>moutkilos</vt:lpstr>
      <vt:lpstr>mtkleursom</vt:lpstr>
      <vt:lpstr>ph</vt:lpstr>
      <vt:lpstr>spoel</vt:lpstr>
      <vt:lpstr>suiker</vt:lpstr>
      <vt:lpstr>totaalgewicht</vt:lpstr>
      <vt:lpstr>totaalSG</vt:lpstr>
      <vt:lpstr>zuur</vt:lpstr>
      <vt:lpstr>zuurfactor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BAERT Ronald</dc:creator>
  <cp:lastModifiedBy>David Steeman</cp:lastModifiedBy>
  <cp:lastPrinted>2000-12-06T15:52:25Z</cp:lastPrinted>
  <dcterms:created xsi:type="dcterms:W3CDTF">1997-05-01T22:29:40Z</dcterms:created>
  <dcterms:modified xsi:type="dcterms:W3CDTF">2011-12-12T10:18:00Z</dcterms:modified>
</cp:coreProperties>
</file>